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907"/>
  <workbookPr/>
  <mc:AlternateContent xmlns:mc="http://schemas.openxmlformats.org/markup-compatibility/2006">
    <mc:Choice Requires="x15">
      <x15ac:absPath xmlns:x15ac="http://schemas.microsoft.com/office/spreadsheetml/2010/11/ac" url="/Users/adriana/Desktop/"/>
    </mc:Choice>
  </mc:AlternateContent>
  <bookViews>
    <workbookView xWindow="0" yWindow="460" windowWidth="25600" windowHeight="14640"/>
  </bookViews>
  <sheets>
    <sheet name="PRESUPUESTO 2017 PROMOTORA MIEL" sheetId="4" r:id="rId1"/>
    <sheet name="Hoja2" sheetId="2" r:id="rId2"/>
    <sheet name="Hoja3" sheetId="3" r:id="rId3"/>
  </sheets>
  <externalReferences>
    <externalReference r:id="rId4"/>
    <externalReference r:id="rId5"/>
    <externalReference r:id="rId6"/>
  </externalReferenc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19" i="4" l="1"/>
  <c r="Z30" i="4"/>
  <c r="Z49" i="4"/>
  <c r="Z48" i="4"/>
  <c r="Z57" i="4"/>
  <c r="Z55" i="4"/>
  <c r="Z56" i="4"/>
  <c r="Z54" i="4"/>
  <c r="Y29" i="4"/>
  <c r="Y30" i="4"/>
  <c r="Y28" i="4"/>
  <c r="Y27" i="4"/>
  <c r="Z19" i="4"/>
  <c r="AB71" i="4"/>
  <c r="AB70" i="4"/>
  <c r="AB69" i="4"/>
  <c r="AH70" i="4"/>
  <c r="AH69" i="4"/>
  <c r="AF70" i="4"/>
  <c r="AA70" i="4"/>
  <c r="AA69" i="4"/>
  <c r="Z70" i="4"/>
  <c r="Z69" i="4"/>
  <c r="Y70" i="4"/>
  <c r="X70" i="4"/>
  <c r="X69" i="4"/>
  <c r="W70" i="4"/>
  <c r="W69" i="4"/>
  <c r="V70" i="4"/>
  <c r="V69" i="4"/>
  <c r="U70" i="4"/>
  <c r="T70" i="4"/>
  <c r="T69" i="4"/>
  <c r="S70" i="4"/>
  <c r="S69" i="4"/>
  <c r="R70" i="4"/>
  <c r="R69" i="4"/>
  <c r="Q70" i="4"/>
  <c r="P70" i="4"/>
  <c r="P69" i="4"/>
  <c r="O70" i="4"/>
  <c r="N70" i="4"/>
  <c r="N69" i="4"/>
  <c r="M70" i="4"/>
  <c r="L70" i="4"/>
  <c r="L69" i="4"/>
  <c r="K70" i="4"/>
  <c r="K69" i="4"/>
  <c r="J70" i="4"/>
  <c r="J69" i="4"/>
  <c r="I70" i="4"/>
  <c r="H70" i="4"/>
  <c r="H69" i="4"/>
  <c r="G70" i="4"/>
  <c r="G69" i="4"/>
  <c r="F70" i="4"/>
  <c r="F69" i="4"/>
  <c r="E70" i="4"/>
  <c r="D70" i="4"/>
  <c r="D69" i="4"/>
  <c r="AF69" i="4"/>
  <c r="Y69" i="4"/>
  <c r="U69" i="4"/>
  <c r="Q69" i="4"/>
  <c r="O69" i="4"/>
  <c r="M69" i="4"/>
  <c r="I69" i="4"/>
  <c r="E69" i="4"/>
  <c r="U67" i="4"/>
  <c r="P67" i="4"/>
  <c r="T67" i="4"/>
  <c r="V67" i="4"/>
  <c r="AH66" i="4"/>
  <c r="AF66" i="4"/>
  <c r="Z66" i="4"/>
  <c r="Y66" i="4"/>
  <c r="X66" i="4"/>
  <c r="W66" i="4"/>
  <c r="U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T64" i="4"/>
  <c r="V64" i="4"/>
  <c r="AA64" i="4"/>
  <c r="AB64" i="4"/>
  <c r="T63" i="4"/>
  <c r="V63" i="4"/>
  <c r="AA63" i="4"/>
  <c r="AB63" i="4"/>
  <c r="T62" i="4"/>
  <c r="V62" i="4"/>
  <c r="AA62" i="4"/>
  <c r="AB62" i="4"/>
  <c r="T61" i="4"/>
  <c r="V61" i="4"/>
  <c r="AA61" i="4"/>
  <c r="T60" i="4"/>
  <c r="V60" i="4"/>
  <c r="AA60" i="4"/>
  <c r="T59" i="4"/>
  <c r="V59" i="4"/>
  <c r="AA59" i="4"/>
  <c r="T58" i="4"/>
  <c r="V58" i="4"/>
  <c r="AA58" i="4"/>
  <c r="AB58" i="4"/>
  <c r="Q57" i="4"/>
  <c r="N57" i="4"/>
  <c r="Q56" i="4"/>
  <c r="T56" i="4"/>
  <c r="V56" i="4"/>
  <c r="Q55" i="4"/>
  <c r="N55" i="4"/>
  <c r="Q54" i="4"/>
  <c r="N54" i="4"/>
  <c r="N53" i="4"/>
  <c r="T53" i="4"/>
  <c r="V53" i="4"/>
  <c r="X52" i="4"/>
  <c r="T52" i="4"/>
  <c r="V52" i="4"/>
  <c r="AH51" i="4"/>
  <c r="Y51" i="4"/>
  <c r="X51" i="4"/>
  <c r="W51" i="4"/>
  <c r="U51" i="4"/>
  <c r="S51" i="4"/>
  <c r="R51" i="4"/>
  <c r="P51" i="4"/>
  <c r="O51" i="4"/>
  <c r="M51" i="4"/>
  <c r="L51" i="4"/>
  <c r="L48" i="4"/>
  <c r="L47" i="4"/>
  <c r="K51" i="4"/>
  <c r="J51" i="4"/>
  <c r="I51" i="4"/>
  <c r="H51" i="4"/>
  <c r="G51" i="4"/>
  <c r="F51" i="4"/>
  <c r="E51" i="4"/>
  <c r="D51" i="4"/>
  <c r="V50" i="4"/>
  <c r="AA50" i="4"/>
  <c r="AB50" i="4"/>
  <c r="Q49" i="4"/>
  <c r="P49" i="4"/>
  <c r="P48" i="4"/>
  <c r="AH48" i="4"/>
  <c r="AF48" i="4"/>
  <c r="Y48" i="4"/>
  <c r="Y47" i="4"/>
  <c r="X48" i="4"/>
  <c r="W48" i="4"/>
  <c r="U48" i="4"/>
  <c r="S48" i="4"/>
  <c r="R48" i="4"/>
  <c r="R47" i="4"/>
  <c r="O48" i="4"/>
  <c r="N48" i="4"/>
  <c r="M48" i="4"/>
  <c r="K48" i="4"/>
  <c r="J48" i="4"/>
  <c r="J47" i="4"/>
  <c r="I48" i="4"/>
  <c r="H48" i="4"/>
  <c r="G48" i="4"/>
  <c r="F48" i="4"/>
  <c r="E48" i="4"/>
  <c r="D48" i="4"/>
  <c r="S47" i="4"/>
  <c r="N43" i="4"/>
  <c r="T43" i="4"/>
  <c r="V43" i="4"/>
  <c r="AA43" i="4"/>
  <c r="AB43" i="4"/>
  <c r="N42" i="4"/>
  <c r="T42" i="4"/>
  <c r="V42" i="4"/>
  <c r="AA42" i="4"/>
  <c r="AB42" i="4"/>
  <c r="T41" i="4"/>
  <c r="V41" i="4"/>
  <c r="AA41" i="4"/>
  <c r="AB41" i="4"/>
  <c r="AH39" i="4"/>
  <c r="AF39" i="4"/>
  <c r="Z39" i="4"/>
  <c r="Y39" i="4"/>
  <c r="Y34" i="4"/>
  <c r="Y33" i="4"/>
  <c r="X39" i="4"/>
  <c r="W39" i="4"/>
  <c r="U39" i="4"/>
  <c r="U34" i="4"/>
  <c r="U33" i="4"/>
  <c r="S39" i="4"/>
  <c r="S34" i="4"/>
  <c r="S33" i="4"/>
  <c r="R39" i="4"/>
  <c r="Q39" i="4"/>
  <c r="P39" i="4"/>
  <c r="O39" i="4"/>
  <c r="M39" i="4"/>
  <c r="L39" i="4"/>
  <c r="K39" i="4"/>
  <c r="J39" i="4"/>
  <c r="I39" i="4"/>
  <c r="H39" i="4"/>
  <c r="G39" i="4"/>
  <c r="G34" i="4"/>
  <c r="G33" i="4"/>
  <c r="F39" i="4"/>
  <c r="E39" i="4"/>
  <c r="D39" i="4"/>
  <c r="AH34" i="4"/>
  <c r="AF34" i="4"/>
  <c r="Z34" i="4"/>
  <c r="X34" i="4"/>
  <c r="W34" i="4"/>
  <c r="R34" i="4"/>
  <c r="R33" i="4"/>
  <c r="Q34" i="4"/>
  <c r="P34" i="4"/>
  <c r="O34" i="4"/>
  <c r="M34" i="4"/>
  <c r="L34" i="4"/>
  <c r="K34" i="4"/>
  <c r="J34" i="4"/>
  <c r="J33" i="4"/>
  <c r="I34" i="4"/>
  <c r="I33" i="4"/>
  <c r="H34" i="4"/>
  <c r="F34" i="4"/>
  <c r="F33" i="4"/>
  <c r="E34" i="4"/>
  <c r="E33" i="4"/>
  <c r="D34" i="4"/>
  <c r="AF33" i="4"/>
  <c r="Q33" i="4"/>
  <c r="M33" i="4"/>
  <c r="AB32" i="4"/>
  <c r="AF31" i="4"/>
  <c r="T31" i="4"/>
  <c r="V31" i="4"/>
  <c r="AA31" i="4"/>
  <c r="AB31" i="4"/>
  <c r="AF30" i="4"/>
  <c r="X30" i="4"/>
  <c r="T30" i="4"/>
  <c r="V30" i="4"/>
  <c r="Z29" i="4"/>
  <c r="X29" i="4"/>
  <c r="U29" i="4"/>
  <c r="U28" i="4"/>
  <c r="U27" i="4"/>
  <c r="U18" i="4"/>
  <c r="U16" i="4"/>
  <c r="T29" i="4"/>
  <c r="AH28" i="4"/>
  <c r="AH27" i="4"/>
  <c r="X28" i="4"/>
  <c r="X27" i="4"/>
  <c r="W28" i="4"/>
  <c r="S28" i="4"/>
  <c r="S27" i="4"/>
  <c r="R28" i="4"/>
  <c r="Q28" i="4"/>
  <c r="P28" i="4"/>
  <c r="P27" i="4"/>
  <c r="O28" i="4"/>
  <c r="N28" i="4"/>
  <c r="M28" i="4"/>
  <c r="L28" i="4"/>
  <c r="L27" i="4"/>
  <c r="K28" i="4"/>
  <c r="K27" i="4"/>
  <c r="J28" i="4"/>
  <c r="I28" i="4"/>
  <c r="I27" i="4"/>
  <c r="H28" i="4"/>
  <c r="H27" i="4"/>
  <c r="G28" i="4"/>
  <c r="G27" i="4"/>
  <c r="F28" i="4"/>
  <c r="E28" i="4"/>
  <c r="D28" i="4"/>
  <c r="D27" i="4"/>
  <c r="W27" i="4"/>
  <c r="R27" i="4"/>
  <c r="Q27" i="4"/>
  <c r="O27" i="4"/>
  <c r="N27" i="4"/>
  <c r="M27" i="4"/>
  <c r="J27" i="4"/>
  <c r="F27" i="4"/>
  <c r="E27" i="4"/>
  <c r="T25" i="4"/>
  <c r="V25" i="4"/>
  <c r="AA25" i="4"/>
  <c r="AB25" i="4"/>
  <c r="T24" i="4"/>
  <c r="V24" i="4"/>
  <c r="AA24" i="4"/>
  <c r="AB24" i="4"/>
  <c r="T22" i="4"/>
  <c r="V22" i="4"/>
  <c r="AA22" i="4"/>
  <c r="AB22" i="4"/>
  <c r="T21" i="4"/>
  <c r="V21" i="4"/>
  <c r="AA21" i="4"/>
  <c r="AB21" i="4"/>
  <c r="N19" i="4"/>
  <c r="N20" i="4"/>
  <c r="AH18" i="4"/>
  <c r="AF18" i="4"/>
  <c r="X18" i="4"/>
  <c r="W18" i="4"/>
  <c r="S18" i="4"/>
  <c r="R18" i="4"/>
  <c r="Q18" i="4"/>
  <c r="P18" i="4"/>
  <c r="O18" i="4"/>
  <c r="M18" i="4"/>
  <c r="L18" i="4"/>
  <c r="K18" i="4"/>
  <c r="J18" i="4"/>
  <c r="I18" i="4"/>
  <c r="H18" i="4"/>
  <c r="G18" i="4"/>
  <c r="F18" i="4"/>
  <c r="E18" i="4"/>
  <c r="D18" i="4"/>
  <c r="V29" i="4"/>
  <c r="V28" i="4"/>
  <c r="V27" i="4"/>
  <c r="AF61" i="4"/>
  <c r="AB61" i="4"/>
  <c r="N23" i="4"/>
  <c r="T20" i="4"/>
  <c r="V20" i="4"/>
  <c r="AA20" i="4"/>
  <c r="AB20" i="4"/>
  <c r="I16" i="4"/>
  <c r="I14" i="4"/>
  <c r="I12" i="4"/>
  <c r="L33" i="4"/>
  <c r="L16" i="4"/>
  <c r="L14" i="4"/>
  <c r="L12" i="4"/>
  <c r="L3" i="4"/>
  <c r="G16" i="4"/>
  <c r="G14" i="4"/>
  <c r="G12" i="4"/>
  <c r="N40" i="4"/>
  <c r="N44" i="4"/>
  <c r="T44" i="4"/>
  <c r="V44" i="4"/>
  <c r="AA44" i="4"/>
  <c r="AB44" i="4"/>
  <c r="X47" i="4"/>
  <c r="T19" i="4"/>
  <c r="V19" i="4"/>
  <c r="Q16" i="4"/>
  <c r="N35" i="4"/>
  <c r="T35" i="4"/>
  <c r="V35" i="4"/>
  <c r="AF28" i="4"/>
  <c r="AF27" i="4"/>
  <c r="AF16" i="4"/>
  <c r="P33" i="4"/>
  <c r="P16" i="4"/>
  <c r="P47" i="4"/>
  <c r="P14" i="4"/>
  <c r="P12" i="4"/>
  <c r="N36" i="4"/>
  <c r="T36" i="4"/>
  <c r="V36" i="4"/>
  <c r="AA36" i="4"/>
  <c r="AB36" i="4"/>
  <c r="N45" i="4"/>
  <c r="T45" i="4"/>
  <c r="V45" i="4"/>
  <c r="AA45" i="4"/>
  <c r="AB45" i="4"/>
  <c r="U47" i="4"/>
  <c r="U14" i="4"/>
  <c r="U12" i="4"/>
  <c r="T49" i="4"/>
  <c r="N51" i="4"/>
  <c r="N47" i="4"/>
  <c r="Z51" i="4"/>
  <c r="AH33" i="4"/>
  <c r="AH16" i="4"/>
  <c r="AH14" i="4"/>
  <c r="AH12" i="4"/>
  <c r="Z28" i="4"/>
  <c r="Z27" i="4"/>
  <c r="D33" i="4"/>
  <c r="D16" i="4"/>
  <c r="D14" i="4"/>
  <c r="D12" i="4"/>
  <c r="H33" i="4"/>
  <c r="H16" i="4"/>
  <c r="H14" i="4"/>
  <c r="H12" i="4"/>
  <c r="W33" i="4"/>
  <c r="W16" i="4"/>
  <c r="W14" i="4"/>
  <c r="W12" i="4"/>
  <c r="M47" i="4"/>
  <c r="Q48" i="4"/>
  <c r="AA56" i="4"/>
  <c r="AB56" i="4"/>
  <c r="Z47" i="4"/>
  <c r="X33" i="4"/>
  <c r="X16" i="4"/>
  <c r="X14" i="4"/>
  <c r="X12" i="4"/>
  <c r="Z33" i="4"/>
  <c r="T23" i="4"/>
  <c r="N18" i="4"/>
  <c r="N34" i="4"/>
  <c r="T54" i="4"/>
  <c r="Q51" i="4"/>
  <c r="AF59" i="4"/>
  <c r="AB59" i="4"/>
  <c r="E16" i="4"/>
  <c r="E14" i="4"/>
  <c r="E12" i="4"/>
  <c r="S16" i="4"/>
  <c r="S14" i="4"/>
  <c r="S12" i="4"/>
  <c r="AA30" i="4"/>
  <c r="AB30" i="4"/>
  <c r="K33" i="4"/>
  <c r="K16" i="4"/>
  <c r="K14" i="4"/>
  <c r="K12" i="4"/>
  <c r="K3" i="4"/>
  <c r="AA19" i="4"/>
  <c r="AB60" i="4"/>
  <c r="AF60" i="4"/>
  <c r="AA67" i="4"/>
  <c r="V66" i="4"/>
  <c r="M16" i="4"/>
  <c r="O33" i="4"/>
  <c r="O16" i="4"/>
  <c r="O14" i="4"/>
  <c r="O12" i="4"/>
  <c r="AA53" i="4"/>
  <c r="F16" i="4"/>
  <c r="F14" i="4"/>
  <c r="F12" i="4"/>
  <c r="J16" i="4"/>
  <c r="J14" i="4"/>
  <c r="J12" i="4"/>
  <c r="R16" i="4"/>
  <c r="R14" i="4"/>
  <c r="R12" i="4"/>
  <c r="T28" i="4"/>
  <c r="T27" i="4"/>
  <c r="T66" i="4"/>
  <c r="T55" i="4"/>
  <c r="V55" i="4"/>
  <c r="AA55" i="4"/>
  <c r="AA52" i="4"/>
  <c r="T57" i="4"/>
  <c r="V57" i="4"/>
  <c r="AA57" i="4"/>
  <c r="AB57" i="4"/>
  <c r="AA29" i="4"/>
  <c r="AB29" i="4"/>
  <c r="AB28" i="4"/>
  <c r="AB27" i="4"/>
  <c r="T34" i="4"/>
  <c r="Q47" i="4"/>
  <c r="Q14" i="4"/>
  <c r="Q12" i="4"/>
  <c r="T48" i="4"/>
  <c r="V49" i="4"/>
  <c r="AA49" i="4"/>
  <c r="M14" i="4"/>
  <c r="M12" i="4"/>
  <c r="M3" i="4"/>
  <c r="T40" i="4"/>
  <c r="N39" i="4"/>
  <c r="N33" i="4"/>
  <c r="N16" i="4"/>
  <c r="N14" i="4"/>
  <c r="N12" i="4"/>
  <c r="N3" i="4"/>
  <c r="AB52" i="4"/>
  <c r="AF55" i="4"/>
  <c r="AB55" i="4"/>
  <c r="AA66" i="4"/>
  <c r="AB67" i="4"/>
  <c r="AB66" i="4"/>
  <c r="AF53" i="4"/>
  <c r="AF51" i="4"/>
  <c r="AF47" i="4"/>
  <c r="AF14" i="4"/>
  <c r="AF12" i="4"/>
  <c r="AB53" i="4"/>
  <c r="AA28" i="4"/>
  <c r="AA27" i="4"/>
  <c r="AB19" i="4"/>
  <c r="J6" i="4"/>
  <c r="K6" i="4"/>
  <c r="L6" i="4"/>
  <c r="M6" i="4"/>
  <c r="J3" i="4"/>
  <c r="V54" i="4"/>
  <c r="T51" i="4"/>
  <c r="AA35" i="4"/>
  <c r="V34" i="4"/>
  <c r="V23" i="4"/>
  <c r="T18" i="4"/>
  <c r="V48" i="4"/>
  <c r="V40" i="4"/>
  <c r="T39" i="4"/>
  <c r="T33" i="4"/>
  <c r="N6" i="4"/>
  <c r="O6" i="4"/>
  <c r="P6" i="4"/>
  <c r="Q6" i="4"/>
  <c r="R6" i="4"/>
  <c r="S6" i="4"/>
  <c r="U6" i="4"/>
  <c r="W6" i="4"/>
  <c r="X6" i="4"/>
  <c r="T16" i="4"/>
  <c r="T47" i="4"/>
  <c r="AB35" i="4"/>
  <c r="AB34" i="4"/>
  <c r="AA34" i="4"/>
  <c r="AA48" i="4"/>
  <c r="AB49" i="4"/>
  <c r="AB48" i="4"/>
  <c r="V18" i="4"/>
  <c r="AA54" i="4"/>
  <c r="V51" i="4"/>
  <c r="V47" i="4"/>
  <c r="T14" i="4"/>
  <c r="T12" i="4"/>
  <c r="AA40" i="4"/>
  <c r="V39" i="4"/>
  <c r="V33" i="4"/>
  <c r="V16" i="4"/>
  <c r="V14" i="4"/>
  <c r="V12" i="4"/>
  <c r="AB54" i="4"/>
  <c r="AB51" i="4"/>
  <c r="AB47" i="4"/>
  <c r="AA51" i="4"/>
  <c r="AA47" i="4"/>
  <c r="Z18" i="4"/>
  <c r="Z16" i="4"/>
  <c r="Z14" i="4"/>
  <c r="Z12" i="4"/>
  <c r="AA39" i="4"/>
  <c r="AA33" i="4"/>
  <c r="AB40" i="4"/>
  <c r="AB39" i="4"/>
  <c r="AB33" i="4"/>
  <c r="AA23" i="4"/>
  <c r="AB23" i="4"/>
  <c r="Y18" i="4"/>
  <c r="Y16" i="4"/>
  <c r="Y14" i="4"/>
  <c r="Y12" i="4"/>
  <c r="Y6" i="4"/>
  <c r="Z6" i="4"/>
  <c r="AB18" i="4"/>
  <c r="AB16" i="4"/>
  <c r="AB14" i="4"/>
  <c r="AB12" i="4"/>
  <c r="AF8" i="4"/>
  <c r="AF6" i="4"/>
  <c r="AA18" i="4"/>
  <c r="AA16" i="4"/>
  <c r="AA14" i="4"/>
  <c r="AA12" i="4"/>
  <c r="AC6" i="4"/>
</calcChain>
</file>

<file path=xl/sharedStrings.xml><?xml version="1.0" encoding="utf-8"?>
<sst xmlns="http://schemas.openxmlformats.org/spreadsheetml/2006/main" count="139" uniqueCount="139">
  <si>
    <t>PROMOTORA MIEL II S.A.S. E.S.P</t>
  </si>
  <si>
    <t>OJO</t>
  </si>
  <si>
    <t>900221459-1</t>
  </si>
  <si>
    <t xml:space="preserve">PRESUPUESTO </t>
  </si>
  <si>
    <t>DISTRIBUCION DISPONIBLE2016</t>
  </si>
  <si>
    <t>EJECUCION ENERO</t>
  </si>
  <si>
    <t>EJECUCION FEBRERO</t>
  </si>
  <si>
    <t>EJECUCION MARZO</t>
  </si>
  <si>
    <t>CAPITALIZACION ABRIL 2016</t>
  </si>
  <si>
    <t>EJECUCION ABRIL</t>
  </si>
  <si>
    <t>CAPITALIZACION MAYO 2016</t>
  </si>
  <si>
    <t>EJECUCION MAYO</t>
  </si>
  <si>
    <t>EJECUCION JUNIO</t>
  </si>
  <si>
    <t>EJECUCION JULIO</t>
  </si>
  <si>
    <t>EJECUCION AGOSTO</t>
  </si>
  <si>
    <t xml:space="preserve">EJECUTADO ENERO-AGOSTO </t>
  </si>
  <si>
    <t>EJECUCION SEPTIEMBRE</t>
  </si>
  <si>
    <t>ACUMULADO ENE-SEP</t>
  </si>
  <si>
    <t>CAPITALIZACION OCTUBRE 2016</t>
  </si>
  <si>
    <t>EJECUCION OCTUBRE</t>
  </si>
  <si>
    <t>EJECUCION NOVIEMBRE</t>
  </si>
  <si>
    <t>EJECUCION DICIEMBRE</t>
  </si>
  <si>
    <t>ACUMULADO ENE-DICBRE-2016</t>
  </si>
  <si>
    <t>SUBTOTAL POR EJECUTAR</t>
  </si>
  <si>
    <t>EJECUCION MAYO 2016</t>
  </si>
  <si>
    <t>RESERVA JUNIO 2016</t>
  </si>
  <si>
    <t>CDP EXPEDIDOS</t>
  </si>
  <si>
    <t>INGRESOS TOTALES</t>
  </si>
  <si>
    <t>1.0</t>
  </si>
  <si>
    <t>DISPONIBILIDAD INICIAL</t>
  </si>
  <si>
    <t>1.1</t>
  </si>
  <si>
    <t>RECURSOS DE CAPITAL</t>
  </si>
  <si>
    <t xml:space="preserve">GASTOS </t>
  </si>
  <si>
    <t>2.1</t>
  </si>
  <si>
    <t xml:space="preserve">GASTOS DE FUNCIONAMIENTO </t>
  </si>
  <si>
    <t xml:space="preserve">GASTOS DE PERSONAL </t>
  </si>
  <si>
    <t xml:space="preserve">SERVICIOS PERSONALES ASOCIADOS A LA NÓMINA </t>
  </si>
  <si>
    <t xml:space="preserve">SUELDOS DE PERSONAL DE NÓMINA </t>
  </si>
  <si>
    <t>DOS FUNCIONARIOS SE INCREMENTO CON EL 7%</t>
  </si>
  <si>
    <t>VACACIONES</t>
  </si>
  <si>
    <t>AUXILIO DE TRANSPORTE</t>
  </si>
  <si>
    <t xml:space="preserve">BONIFICACIÓN ESPECIAL POR RECREACIÓN </t>
  </si>
  <si>
    <t>PRIMA LEGAL DE SERVICIOS</t>
  </si>
  <si>
    <t>CAPACITACION DE PERSONAL</t>
  </si>
  <si>
    <t>PRIMA DE NAVIDAD</t>
  </si>
  <si>
    <t>PRIMA DE VACIONES</t>
  </si>
  <si>
    <t xml:space="preserve">SERVICIOS PERSONALES INDIRECTOS </t>
  </si>
  <si>
    <t>HONORARIOS</t>
  </si>
  <si>
    <t>ASESORIAS</t>
  </si>
  <si>
    <t>CONTRATOS DE BANCA DE INVERSION -ASESORIA TECNICA Y DE CONSULTORIA</t>
  </si>
  <si>
    <t>CONTRATO PRESTACION DE SERVICIOS</t>
  </si>
  <si>
    <t>CONTADOR -ABOGADO-PAGINA WEB- CON EL 7%</t>
  </si>
  <si>
    <t>2.1.1.2.1.4</t>
  </si>
  <si>
    <t>OTROS</t>
  </si>
  <si>
    <t xml:space="preserve">CONTRIBUCIONES INHERENTES A LA NÓMINA </t>
  </si>
  <si>
    <t xml:space="preserve">AL SECTOR PÚBLICO </t>
  </si>
  <si>
    <t xml:space="preserve">SERVICIO NACIONAL DE APRENDIZAJE -SENA- </t>
  </si>
  <si>
    <t xml:space="preserve">INSTITUTO COLOMBIANO DE BIENESTAR FAMILIAR -ICBF- </t>
  </si>
  <si>
    <t xml:space="preserve">AL SECTOR PRIVADO </t>
  </si>
  <si>
    <t>CESANTIAS</t>
  </si>
  <si>
    <t>INTERESES S/CESANTIA</t>
  </si>
  <si>
    <t xml:space="preserve">FONDOS DE PENSIONES </t>
  </si>
  <si>
    <t xml:space="preserve">EMPRESAS PROMOTORAS DE SALUD </t>
  </si>
  <si>
    <t>ADMINISTRADORAS RIESGOS LABORALES</t>
  </si>
  <si>
    <t>APORTES PARAFISCALES A LAS CAJAS DE COMPENSACIÓN</t>
  </si>
  <si>
    <t xml:space="preserve">GASTOS GENERALES </t>
  </si>
  <si>
    <t xml:space="preserve">ADQUISICIÓN DE BIENES </t>
  </si>
  <si>
    <t xml:space="preserve">MATERIALES Y SUMINISTROS </t>
  </si>
  <si>
    <t>PAPELERIA-TONER  DE IMPRESORA</t>
  </si>
  <si>
    <t>COMPRA DE EQUIPO Y MUEBLES</t>
  </si>
  <si>
    <t xml:space="preserve">ADQUISICIÓN DE SERVICIOS </t>
  </si>
  <si>
    <t xml:space="preserve">VIATICOS Y GASTOS DE VIAJE </t>
  </si>
  <si>
    <t>GASTOS LEGALES Y NOTARIALES</t>
  </si>
  <si>
    <t>TIMBRES, CORREOS, FLETES Y TRANSPORTE</t>
  </si>
  <si>
    <t>SUMINISTROS DE FOTOCOPIAS</t>
  </si>
  <si>
    <t>IMPREVISTOS</t>
  </si>
  <si>
    <t>OPERACIONES COMERCIALES Y RELACIONES PUBLICAS</t>
  </si>
  <si>
    <t>ARRENDAMIENTOS</t>
  </si>
  <si>
    <t>SERVICIOS ACUEDUCTO</t>
  </si>
  <si>
    <t>SERVICIOS ENERGIA</t>
  </si>
  <si>
    <t>TELEFONO - INTERNET -</t>
  </si>
  <si>
    <t>ACONDICIONAMIENTO DE OFICINA</t>
  </si>
  <si>
    <t>POLIZAS DE SEGUROS</t>
  </si>
  <si>
    <t>ADECUACION Y MANTRNIMIENTO EDIFICIO</t>
  </si>
  <si>
    <t xml:space="preserve">IMPUESTOS Y MULTAS </t>
  </si>
  <si>
    <t xml:space="preserve">IMPUESTOS (IVA ASUMIDO Y GMF) Y MULTAS </t>
  </si>
  <si>
    <t xml:space="preserve">GASTOS DE INVERSIÓN </t>
  </si>
  <si>
    <t xml:space="preserve">DOTACIÓN </t>
  </si>
  <si>
    <t xml:space="preserve">EQUIPOS, MATERIALES, SUMINISTROS Y SERVICIOS PROPIOS DEL SECTOR </t>
  </si>
  <si>
    <t>COMPRA SOFWARE CONTABLE CON NIIF TESORERIA</t>
  </si>
  <si>
    <t xml:space="preserve">                                                                                      </t>
  </si>
  <si>
    <t>2.1.01</t>
  </si>
  <si>
    <t>2.1.01.01</t>
  </si>
  <si>
    <t>2.1.01.01.01</t>
  </si>
  <si>
    <t>2.1.01.01.02</t>
  </si>
  <si>
    <t>2.1.01.01.03</t>
  </si>
  <si>
    <t>2.1.01.01.04</t>
  </si>
  <si>
    <t>2.1.01.01.05</t>
  </si>
  <si>
    <t>2.1.01.01.06</t>
  </si>
  <si>
    <t>2.1.01.01.07</t>
  </si>
  <si>
    <t>2.1.01.01.08</t>
  </si>
  <si>
    <t>2.1.01.02</t>
  </si>
  <si>
    <t>2.1.01.02.01</t>
  </si>
  <si>
    <t>2.1.01.02.01.01</t>
  </si>
  <si>
    <t>2.1.01.02.01.02</t>
  </si>
  <si>
    <t>2.1.01.03</t>
  </si>
  <si>
    <t>2.1.01.03.01</t>
  </si>
  <si>
    <t>2.1.01.03.01.01</t>
  </si>
  <si>
    <t>2.1.01.03.01.02</t>
  </si>
  <si>
    <t>2.1.01.03.02</t>
  </si>
  <si>
    <t>2.1.01.03.02.01</t>
  </si>
  <si>
    <t>2.1.01.03.02.02</t>
  </si>
  <si>
    <t>2.1.01.03.02.03</t>
  </si>
  <si>
    <t>2.1.01.03.02.04</t>
  </si>
  <si>
    <t>2.1.01.03.02.05</t>
  </si>
  <si>
    <t>2.1.01.03.02.06</t>
  </si>
  <si>
    <t>2.1.02</t>
  </si>
  <si>
    <t>2.1.02.01</t>
  </si>
  <si>
    <t>2.1.02.01.01</t>
  </si>
  <si>
    <t>2.1.02.01.02</t>
  </si>
  <si>
    <t>2.1.02.02</t>
  </si>
  <si>
    <t>2.1.02.02.01</t>
  </si>
  <si>
    <t>2.1.02.02.02</t>
  </si>
  <si>
    <t>2.1.02.02.03</t>
  </si>
  <si>
    <t>2.1.02.02.04</t>
  </si>
  <si>
    <t>2.1.02.02.05</t>
  </si>
  <si>
    <t>2.1.02.02.06</t>
  </si>
  <si>
    <t>2.1.02.02.07</t>
  </si>
  <si>
    <t>2.1.02.02.08</t>
  </si>
  <si>
    <t>2.1.02.02.09</t>
  </si>
  <si>
    <t>2.1.02.02.10</t>
  </si>
  <si>
    <t>2.1.02.02.11</t>
  </si>
  <si>
    <t>2.1.02.02.12</t>
  </si>
  <si>
    <t>2.1.02.02.13</t>
  </si>
  <si>
    <t>2.1.02.03</t>
  </si>
  <si>
    <t>2.1.02.03.01</t>
  </si>
  <si>
    <t>2.3.01</t>
  </si>
  <si>
    <t>2.3.01.01</t>
  </si>
  <si>
    <t>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</si>
</sst>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-* #,##0\ _€_-;\-* #,##0\ _€_-;_-* &quot;-&quot;??\ _€_-;_-@_-"/>
    <numFmt numFmtId="166" formatCode="&quot;$&quot;\ 0,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</font>
    <font>
      <b/>
      <sz val="14"/>
      <color theme="0"/>
      <name val="Calibri"/>
      <family val="2"/>
    </font>
    <font>
      <b/>
      <sz val="13"/>
      <color theme="0"/>
      <name val="Calibri"/>
      <family val="2"/>
    </font>
    <font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3"/>
      <color rgb="FF000000"/>
      <name val="Calibri"/>
      <family val="2"/>
    </font>
    <font>
      <b/>
      <sz val="14"/>
      <color rgb="FFFF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theme="3" tint="-0.249977111117893"/>
      <name val="Calibri"/>
      <family val="2"/>
      <scheme val="minor"/>
    </font>
    <font>
      <sz val="11"/>
      <color theme="1"/>
      <name val="Tahoma"/>
      <family val="2"/>
    </font>
    <font>
      <sz val="26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4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2" fontId="0" fillId="0" borderId="0" xfId="0" applyNumberFormat="1"/>
    <xf numFmtId="43" fontId="2" fillId="0" borderId="0" xfId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2" fontId="0" fillId="0" borderId="0" xfId="0" applyNumberFormat="1" applyBorder="1"/>
    <xf numFmtId="43" fontId="3" fillId="0" borderId="0" xfId="1" applyFont="1"/>
    <xf numFmtId="165" fontId="0" fillId="0" borderId="0" xfId="0" applyNumberFormat="1"/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65" fontId="2" fillId="0" borderId="0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" fontId="7" fillId="0" borderId="1" xfId="0" applyNumberFormat="1" applyFont="1" applyBorder="1" applyAlignment="1">
      <alignment horizontal="center" vertical="center" wrapText="1"/>
    </xf>
    <xf numFmtId="165" fontId="11" fillId="3" borderId="1" xfId="1" applyNumberFormat="1" applyFont="1" applyFill="1" applyBorder="1" applyAlignment="1">
      <alignment vertical="center"/>
    </xf>
    <xf numFmtId="0" fontId="0" fillId="4" borderId="0" xfId="0" applyFill="1"/>
    <xf numFmtId="165" fontId="14" fillId="5" borderId="1" xfId="1" applyNumberFormat="1" applyFont="1" applyFill="1" applyBorder="1" applyAlignment="1">
      <alignment vertical="center"/>
    </xf>
    <xf numFmtId="165" fontId="12" fillId="0" borderId="0" xfId="1" applyNumberFormat="1" applyFont="1" applyBorder="1"/>
    <xf numFmtId="165" fontId="10" fillId="6" borderId="1" xfId="1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165" fontId="10" fillId="7" borderId="1" xfId="1" applyNumberFormat="1" applyFont="1" applyFill="1" applyBorder="1" applyAlignment="1">
      <alignment vertical="center"/>
    </xf>
    <xf numFmtId="165" fontId="14" fillId="8" borderId="1" xfId="1" applyNumberFormat="1" applyFont="1" applyFill="1" applyBorder="1" applyAlignment="1">
      <alignment vertical="center"/>
    </xf>
    <xf numFmtId="165" fontId="14" fillId="9" borderId="1" xfId="1" applyNumberFormat="1" applyFont="1" applyFill="1" applyBorder="1" applyAlignment="1">
      <alignment vertical="center"/>
    </xf>
    <xf numFmtId="165" fontId="18" fillId="0" borderId="2" xfId="1" applyNumberFormat="1" applyFont="1" applyBorder="1" applyAlignment="1">
      <alignment vertical="center"/>
    </xf>
    <xf numFmtId="165" fontId="18" fillId="0" borderId="3" xfId="1" applyNumberFormat="1" applyFont="1" applyBorder="1" applyAlignment="1">
      <alignment vertical="center"/>
    </xf>
    <xf numFmtId="165" fontId="14" fillId="9" borderId="3" xfId="1" applyNumberFormat="1" applyFont="1" applyFill="1" applyBorder="1" applyAlignment="1">
      <alignment vertical="center"/>
    </xf>
    <xf numFmtId="165" fontId="14" fillId="10" borderId="3" xfId="1" applyNumberFormat="1" applyFont="1" applyFill="1" applyBorder="1" applyAlignment="1">
      <alignment vertical="center"/>
    </xf>
    <xf numFmtId="0" fontId="13" fillId="10" borderId="4" xfId="0" applyFont="1" applyFill="1" applyBorder="1" applyAlignment="1">
      <alignment vertical="center" wrapText="1"/>
    </xf>
    <xf numFmtId="165" fontId="14" fillId="10" borderId="4" xfId="1" applyNumberFormat="1" applyFont="1" applyFill="1" applyBorder="1" applyAlignment="1">
      <alignment vertical="center"/>
    </xf>
    <xf numFmtId="165" fontId="14" fillId="8" borderId="3" xfId="1" applyNumberFormat="1" applyFont="1" applyFill="1" applyBorder="1" applyAlignment="1">
      <alignment vertical="center"/>
    </xf>
    <xf numFmtId="165" fontId="14" fillId="11" borderId="3" xfId="1" applyNumberFormat="1" applyFont="1" applyFill="1" applyBorder="1" applyAlignment="1">
      <alignment vertical="center"/>
    </xf>
    <xf numFmtId="0" fontId="0" fillId="0" borderId="0" xfId="0" applyBorder="1" applyAlignment="1">
      <alignment horizontal="left"/>
    </xf>
    <xf numFmtId="165" fontId="14" fillId="11" borderId="5" xfId="1" applyNumberFormat="1" applyFont="1" applyFill="1" applyBorder="1" applyAlignment="1">
      <alignment vertical="center"/>
    </xf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43" fontId="21" fillId="0" borderId="0" xfId="0" applyNumberFormat="1" applyFont="1" applyAlignment="1">
      <alignment vertical="center"/>
    </xf>
    <xf numFmtId="0" fontId="3" fillId="0" borderId="0" xfId="0" applyFont="1" applyFill="1" applyBorder="1" applyAlignment="1">
      <alignment vertical="center" wrapText="1"/>
    </xf>
    <xf numFmtId="2" fontId="22" fillId="0" borderId="0" xfId="0" applyNumberFormat="1" applyFont="1" applyBorder="1" applyAlignment="1">
      <alignment horizontal="center" vertical="center"/>
    </xf>
    <xf numFmtId="165" fontId="12" fillId="4" borderId="7" xfId="1" applyNumberFormat="1" applyFont="1" applyFill="1" applyBorder="1"/>
    <xf numFmtId="165" fontId="15" fillId="5" borderId="1" xfId="1" applyNumberFormat="1" applyFont="1" applyFill="1" applyBorder="1" applyAlignment="1">
      <alignment vertical="center"/>
    </xf>
    <xf numFmtId="165" fontId="12" fillId="0" borderId="7" xfId="1" applyNumberFormat="1" applyFont="1" applyBorder="1"/>
    <xf numFmtId="0" fontId="0" fillId="0" borderId="7" xfId="0" applyBorder="1" applyAlignment="1">
      <alignment horizontal="left"/>
    </xf>
    <xf numFmtId="164" fontId="2" fillId="0" borderId="0" xfId="1" applyNumberFormat="1" applyFont="1" applyBorder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166" fontId="0" fillId="0" borderId="0" xfId="0" applyNumberFormat="1"/>
    <xf numFmtId="164" fontId="2" fillId="0" borderId="0" xfId="1" applyNumberFormat="1" applyFont="1" applyBorder="1" applyAlignment="1">
      <alignment horizontal="right" vertical="center"/>
    </xf>
    <xf numFmtId="165" fontId="2" fillId="0" borderId="0" xfId="1" applyNumberFormat="1" applyFont="1" applyBorder="1" applyAlignment="1">
      <alignment horizontal="right" vertical="center"/>
    </xf>
    <xf numFmtId="165" fontId="12" fillId="0" borderId="0" xfId="1" applyNumberFormat="1" applyFont="1" applyBorder="1" applyAlignment="1">
      <alignment horizontal="right"/>
    </xf>
    <xf numFmtId="165" fontId="14" fillId="10" borderId="4" xfId="1" applyNumberFormat="1" applyFont="1" applyFill="1" applyBorder="1" applyAlignment="1">
      <alignment horizontal="right" vertical="center"/>
    </xf>
    <xf numFmtId="2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0" fillId="0" borderId="4" xfId="0" applyBorder="1"/>
    <xf numFmtId="0" fontId="6" fillId="0" borderId="4" xfId="0" applyFont="1" applyBorder="1" applyAlignment="1">
      <alignment horizontal="center" vertical="center"/>
    </xf>
    <xf numFmtId="1" fontId="23" fillId="0" borderId="4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vertical="center" wrapText="1"/>
    </xf>
    <xf numFmtId="165" fontId="10" fillId="3" borderId="4" xfId="1" applyNumberFormat="1" applyFont="1" applyFill="1" applyBorder="1" applyAlignment="1">
      <alignment vertical="center"/>
    </xf>
    <xf numFmtId="165" fontId="11" fillId="3" borderId="4" xfId="1" applyNumberFormat="1" applyFont="1" applyFill="1" applyBorder="1" applyAlignment="1">
      <alignment horizontal="right" vertical="center"/>
    </xf>
    <xf numFmtId="165" fontId="11" fillId="3" borderId="4" xfId="1" applyNumberFormat="1" applyFont="1" applyFill="1" applyBorder="1" applyAlignment="1">
      <alignment vertical="center"/>
    </xf>
    <xf numFmtId="0" fontId="0" fillId="4" borderId="4" xfId="0" applyFill="1" applyBorder="1" applyAlignment="1">
      <alignment horizontal="left"/>
    </xf>
    <xf numFmtId="0" fontId="0" fillId="4" borderId="4" xfId="0" applyFill="1" applyBorder="1"/>
    <xf numFmtId="165" fontId="12" fillId="4" borderId="4" xfId="1" applyNumberFormat="1" applyFont="1" applyFill="1" applyBorder="1"/>
    <xf numFmtId="165" fontId="12" fillId="4" borderId="4" xfId="1" applyNumberFormat="1" applyFont="1" applyFill="1" applyBorder="1" applyAlignment="1">
      <alignment horizontal="right"/>
    </xf>
    <xf numFmtId="0" fontId="13" fillId="5" borderId="4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vertical="center" wrapText="1"/>
    </xf>
    <xf numFmtId="165" fontId="14" fillId="5" borderId="4" xfId="1" applyNumberFormat="1" applyFont="1" applyFill="1" applyBorder="1" applyAlignment="1">
      <alignment vertical="center"/>
    </xf>
    <xf numFmtId="165" fontId="15" fillId="5" borderId="4" xfId="1" applyNumberFormat="1" applyFont="1" applyFill="1" applyBorder="1" applyAlignment="1">
      <alignment vertical="center"/>
    </xf>
    <xf numFmtId="165" fontId="15" fillId="5" borderId="4" xfId="1" applyNumberFormat="1" applyFont="1" applyFill="1" applyBorder="1" applyAlignment="1">
      <alignment horizontal="right" vertical="center"/>
    </xf>
    <xf numFmtId="165" fontId="16" fillId="5" borderId="4" xfId="1" applyNumberFormat="1" applyFont="1" applyFill="1" applyBorder="1" applyAlignment="1">
      <alignment vertical="center"/>
    </xf>
    <xf numFmtId="165" fontId="14" fillId="5" borderId="4" xfId="1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left"/>
    </xf>
    <xf numFmtId="165" fontId="12" fillId="0" borderId="4" xfId="1" applyNumberFormat="1" applyFont="1" applyBorder="1"/>
    <xf numFmtId="165" fontId="12" fillId="0" borderId="4" xfId="1" applyNumberFormat="1" applyFont="1" applyBorder="1" applyAlignment="1">
      <alignment horizontal="right"/>
    </xf>
    <xf numFmtId="0" fontId="9" fillId="6" borderId="4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vertical="center" wrapText="1"/>
    </xf>
    <xf numFmtId="165" fontId="10" fillId="6" borderId="4" xfId="1" applyNumberFormat="1" applyFont="1" applyFill="1" applyBorder="1" applyAlignment="1">
      <alignment vertical="center"/>
    </xf>
    <xf numFmtId="165" fontId="10" fillId="6" borderId="4" xfId="1" applyNumberFormat="1" applyFont="1" applyFill="1" applyBorder="1" applyAlignment="1">
      <alignment horizontal="right" vertical="center"/>
    </xf>
    <xf numFmtId="0" fontId="9" fillId="7" borderId="4" xfId="0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vertical="center" wrapText="1"/>
    </xf>
    <xf numFmtId="165" fontId="10" fillId="7" borderId="4" xfId="1" applyNumberFormat="1" applyFont="1" applyFill="1" applyBorder="1" applyAlignment="1">
      <alignment vertical="center"/>
    </xf>
    <xf numFmtId="165" fontId="10" fillId="7" borderId="4" xfId="1" applyNumberFormat="1" applyFont="1" applyFill="1" applyBorder="1" applyAlignment="1">
      <alignment horizontal="right" vertical="center"/>
    </xf>
    <xf numFmtId="0" fontId="13" fillId="8" borderId="4" xfId="0" applyFont="1" applyFill="1" applyBorder="1" applyAlignment="1">
      <alignment horizontal="left" vertical="center" wrapText="1"/>
    </xf>
    <xf numFmtId="0" fontId="13" fillId="8" borderId="4" xfId="0" applyFont="1" applyFill="1" applyBorder="1" applyAlignment="1">
      <alignment vertical="center" wrapText="1"/>
    </xf>
    <xf numFmtId="165" fontId="14" fillId="8" borderId="4" xfId="1" applyNumberFormat="1" applyFont="1" applyFill="1" applyBorder="1" applyAlignment="1">
      <alignment vertical="center"/>
    </xf>
    <xf numFmtId="165" fontId="14" fillId="8" borderId="4" xfId="1" applyNumberFormat="1" applyFont="1" applyFill="1" applyBorder="1" applyAlignment="1">
      <alignment horizontal="right" vertical="center"/>
    </xf>
    <xf numFmtId="0" fontId="13" fillId="9" borderId="4" xfId="0" applyFont="1" applyFill="1" applyBorder="1" applyAlignment="1">
      <alignment vertical="center" wrapText="1"/>
    </xf>
    <xf numFmtId="165" fontId="14" fillId="9" borderId="4" xfId="1" applyNumberFormat="1" applyFont="1" applyFill="1" applyBorder="1" applyAlignment="1">
      <alignment vertical="center"/>
    </xf>
    <xf numFmtId="165" fontId="14" fillId="9" borderId="4" xfId="1" applyNumberFormat="1" applyFont="1" applyFill="1" applyBorder="1" applyAlignment="1">
      <alignment horizontal="right" vertical="center"/>
    </xf>
    <xf numFmtId="0" fontId="17" fillId="0" borderId="4" xfId="0" applyFont="1" applyBorder="1" applyAlignment="1">
      <alignment vertical="center" wrapText="1"/>
    </xf>
    <xf numFmtId="165" fontId="18" fillId="0" borderId="4" xfId="1" applyNumberFormat="1" applyFont="1" applyBorder="1" applyAlignment="1">
      <alignment vertical="center"/>
    </xf>
    <xf numFmtId="165" fontId="0" fillId="0" borderId="4" xfId="0" applyNumberFormat="1" applyBorder="1"/>
    <xf numFmtId="165" fontId="18" fillId="0" borderId="4" xfId="1" applyNumberFormat="1" applyFont="1" applyBorder="1" applyAlignment="1">
      <alignment horizontal="right" vertical="center"/>
    </xf>
    <xf numFmtId="165" fontId="24" fillId="0" borderId="4" xfId="1" applyNumberFormat="1" applyFont="1" applyBorder="1" applyAlignment="1">
      <alignment vertical="center"/>
    </xf>
    <xf numFmtId="0" fontId="17" fillId="0" borderId="4" xfId="0" applyFont="1" applyFill="1" applyBorder="1" applyAlignment="1">
      <alignment vertical="center" wrapText="1"/>
    </xf>
    <xf numFmtId="0" fontId="13" fillId="9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vertical="center" wrapText="1"/>
    </xf>
    <xf numFmtId="165" fontId="18" fillId="0" borderId="4" xfId="1" applyNumberFormat="1" applyFont="1" applyFill="1" applyBorder="1" applyAlignment="1">
      <alignment vertical="center"/>
    </xf>
    <xf numFmtId="1" fontId="17" fillId="0" borderId="4" xfId="0" applyNumberFormat="1" applyFont="1" applyBorder="1" applyAlignment="1">
      <alignment horizontal="left" vertical="center" wrapText="1"/>
    </xf>
    <xf numFmtId="165" fontId="18" fillId="12" borderId="4" xfId="1" applyNumberFormat="1" applyFont="1" applyFill="1" applyBorder="1" applyAlignment="1">
      <alignment vertical="center"/>
    </xf>
    <xf numFmtId="0" fontId="19" fillId="0" borderId="4" xfId="0" applyFont="1" applyBorder="1" applyAlignment="1">
      <alignment vertical="center" wrapText="1"/>
    </xf>
    <xf numFmtId="165" fontId="18" fillId="0" borderId="4" xfId="1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/>
    </xf>
    <xf numFmtId="0" fontId="13" fillId="11" borderId="4" xfId="0" applyFont="1" applyFill="1" applyBorder="1" applyAlignment="1">
      <alignment horizontal="left" vertical="center" wrapText="1"/>
    </xf>
    <xf numFmtId="0" fontId="13" fillId="11" borderId="4" xfId="0" applyFont="1" applyFill="1" applyBorder="1" applyAlignment="1">
      <alignment vertical="center" wrapText="1"/>
    </xf>
    <xf numFmtId="165" fontId="14" fillId="11" borderId="4" xfId="1" applyNumberFormat="1" applyFont="1" applyFill="1" applyBorder="1" applyAlignment="1">
      <alignment vertical="center"/>
    </xf>
    <xf numFmtId="165" fontId="14" fillId="11" borderId="4" xfId="1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right"/>
    </xf>
    <xf numFmtId="165" fontId="16" fillId="0" borderId="4" xfId="1" applyNumberFormat="1" applyFont="1" applyBorder="1" applyAlignment="1">
      <alignment vertical="center"/>
    </xf>
    <xf numFmtId="0" fontId="0" fillId="0" borderId="8" xfId="0" applyBorder="1"/>
    <xf numFmtId="165" fontId="18" fillId="0" borderId="7" xfId="1" applyNumberFormat="1" applyFont="1" applyBorder="1" applyAlignment="1">
      <alignment vertical="center"/>
    </xf>
    <xf numFmtId="0" fontId="0" fillId="0" borderId="0" xfId="0" applyBorder="1"/>
    <xf numFmtId="165" fontId="17" fillId="0" borderId="0" xfId="1" applyNumberFormat="1" applyFont="1" applyBorder="1" applyAlignment="1">
      <alignment horizontal="left" vertical="center"/>
    </xf>
    <xf numFmtId="165" fontId="17" fillId="0" borderId="0" xfId="1" applyNumberFormat="1" applyFont="1" applyBorder="1" applyAlignment="1">
      <alignment vertical="center"/>
    </xf>
    <xf numFmtId="165" fontId="18" fillId="0" borderId="0" xfId="1" applyNumberFormat="1" applyFont="1" applyBorder="1" applyAlignment="1">
      <alignment vertical="center"/>
    </xf>
    <xf numFmtId="165" fontId="18" fillId="0" borderId="0" xfId="1" applyNumberFormat="1" applyFont="1" applyBorder="1" applyAlignment="1">
      <alignment horizontal="right" vertical="center"/>
    </xf>
    <xf numFmtId="0" fontId="0" fillId="0" borderId="8" xfId="0" applyBorder="1" applyAlignment="1">
      <alignment horizontal="left"/>
    </xf>
    <xf numFmtId="165" fontId="12" fillId="0" borderId="8" xfId="1" applyNumberFormat="1" applyFont="1" applyBorder="1"/>
    <xf numFmtId="165" fontId="12" fillId="0" borderId="8" xfId="1" applyNumberFormat="1" applyFont="1" applyBorder="1" applyAlignment="1">
      <alignment horizontal="right"/>
    </xf>
    <xf numFmtId="165" fontId="14" fillId="10" borderId="9" xfId="1" applyNumberFormat="1" applyFont="1" applyFill="1" applyBorder="1" applyAlignment="1">
      <alignment vertical="center"/>
    </xf>
    <xf numFmtId="2" fontId="22" fillId="0" borderId="6" xfId="0" applyNumberFormat="1" applyFont="1" applyBorder="1" applyAlignment="1">
      <alignment horizontal="center" vertical="center"/>
    </xf>
    <xf numFmtId="2" fontId="22" fillId="0" borderId="3" xfId="0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Mis%20documentos%202016/0.2%20PROMOTORA%20MIEL%20II%20SAS%20ESP/2.%20CONTABILIDAD-%20PROMOTORA%20MIEL%20II%20SAS%20ESP/REGISTROS%20Y%20SOPORTES/A&#209;O%202016/MOVIMIENTO%202016/2.9.%20SEPTIEMBRE%20DE%202016%20-%20MOVIMIEN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Mis%20documentos%202016/0.2%20PROMOTORA%20MIEL%20II%20SAS%20ESP/2.%20CONTABILIDAD-%20PROMOTORA%20MIEL%20II%20SAS%20ESP/REGISTROS%20Y%20SOPORTES/A&#209;O%202016/MOVIMIENTO%202016/2.6.%20JUNIO%20%20DE%202016%20-%20MOVIMIEN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Mis%20documentos%202016/0.2%20PROMOTORA%20MIEL%20II%20SAS%20ESP/2.%20CONTABILIDAD-%20PROMOTORA%20MIEL%20II%20SAS%20ESP/REGISTROS%20Y%20SOPORTES/A&#209;O%202016/MOVIMIENTO%202016/2.4.%20ABRIL%20%20DE%202016%20-%20MOV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S -SEPTIEMBRE 2016"/>
      <sheetName val="PRESUP-EJEC-SEPT 2016"/>
      <sheetName val="GPE-039"/>
      <sheetName val="PRESUPUESTO 2016"/>
      <sheetName val="GPE-039 PROYECTADO"/>
      <sheetName val="ACUMULADO ENE-JUN 2016 "/>
      <sheetName val=" CAJA MENOR AGOSTO"/>
      <sheetName val="RESUMEN MOVIMIENTO-SEPT-16"/>
      <sheetName val="Hoja3"/>
      <sheetName val="E. F. SEPTIEMBRE  2016"/>
      <sheetName val="RESUMEN-NOMINA-SEPTIEMBRE 2016"/>
      <sheetName val="AUX BANCOS SEPTIEMBRE 2016"/>
      <sheetName val="CONCILIACION BANCARIA"/>
      <sheetName val="PROGRAMA DE AUSTERIDAD"/>
      <sheetName val="RESUMEN-PAGO SEGURIDA SOCIAL"/>
      <sheetName val="CP DATA SERVICE"/>
      <sheetName val="SR ARANZAZU-SEPT- 2016"/>
      <sheetName val="Hoja2"/>
      <sheetName val="CP- ING GABRIEL SEPT 2016"/>
      <sheetName val="CP CARMENZA  SEPTIEMBRE 2016"/>
      <sheetName val="CP AMED SEPTIEMBRE 2016"/>
      <sheetName val="CP-NELLY SEPTIEMBRE 2016"/>
      <sheetName val="CP-WE SOURCE"/>
      <sheetName val="PARTICIPACION ACCIONARIA"/>
      <sheetName val="RTEFTE-DR. GABRIEL"/>
      <sheetName val="RTEFTE AMED "/>
      <sheetName val="PUC"/>
      <sheetName val="Hoja1"/>
    </sheetNames>
    <sheetDataSet>
      <sheetData sheetId="0">
        <row r="208">
          <cell r="F208">
            <v>18373400</v>
          </cell>
        </row>
        <row r="273">
          <cell r="F273">
            <v>158917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2016"/>
      <sheetName val="PRESUPUESTO 2016-E"/>
      <sheetName val="RESUMEN-NOMINA-JUNIO 2016"/>
      <sheetName val="REGISTROS CONTABLES-JUNIO 16"/>
      <sheetName val="AUX BANCOS JUNIO 2016"/>
      <sheetName val="CONCILIACION BANCARIA"/>
      <sheetName val="RESUMEN MOVIMIENTO-JUNIO 16"/>
      <sheetName val="E. F. JUNIO  2016"/>
      <sheetName val=" CAJA MENOR JUNIO"/>
      <sheetName val="PROGRAMA DE AUSTERIDAD"/>
      <sheetName val="RESUMEN-PAGO SEGURIDA SOCIAL"/>
      <sheetName val="SR ARANZAZU-JUNIO 2016"/>
      <sheetName val="CP- ING GABRIEL JUNIO 2016"/>
      <sheetName val="CP CARMENZA  JUNIO 2016"/>
      <sheetName val="CP AMED JUNIO 2016"/>
      <sheetName val="CP-NELLY JUNIO 2016"/>
      <sheetName val="PARTICIPACION ACCIONARIA"/>
      <sheetName val="RTEFTE-DR. GABRIEL"/>
      <sheetName val="RTEFTE AMED "/>
      <sheetName val="CP-NELLY"/>
      <sheetName val="PUC"/>
    </sheetNames>
    <sheetDataSet>
      <sheetData sheetId="0"/>
      <sheetData sheetId="1"/>
      <sheetData sheetId="2"/>
      <sheetData sheetId="3">
        <row r="244">
          <cell r="E244">
            <v>22900</v>
          </cell>
        </row>
        <row r="245">
          <cell r="E245">
            <v>121100</v>
          </cell>
        </row>
        <row r="247">
          <cell r="E247">
            <v>15000</v>
          </cell>
        </row>
        <row r="248">
          <cell r="E248">
            <v>51550</v>
          </cell>
        </row>
        <row r="249">
          <cell r="E249">
            <v>45900</v>
          </cell>
        </row>
      </sheetData>
      <sheetData sheetId="4"/>
      <sheetData sheetId="5"/>
      <sheetData sheetId="6">
        <row r="40">
          <cell r="B40">
            <v>150791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2016-E"/>
      <sheetName val="REGISTROS CONTABLES-ABRIL 16"/>
      <sheetName val="RESUMEN MOVIMIENTO-ABRIL 16"/>
      <sheetName val="LIQ-ING GABRIEL"/>
      <sheetName val="E. F. ABRIL  2016"/>
      <sheetName val="AUX BANCOS ABRIL 2016"/>
      <sheetName val="RESUMEN-PAGO SEGURIDA SOCIAL"/>
      <sheetName val="PARTICIPACION ACCIONARIA"/>
      <sheetName val="CONCILIACION BANCARIA"/>
      <sheetName val="LIQ INT CESDR GABIEL"/>
      <sheetName val="SR ARANZAZU-MARZO"/>
      <sheetName val="CP-NELLY"/>
      <sheetName val="PRESUPUESTO 2016"/>
      <sheetName val="PUC"/>
      <sheetName val="CP GRUCON"/>
      <sheetName val="LIQUIDACION-ING GAB"/>
      <sheetName val="CP- ING GABRIEL ABRIL 16"/>
      <sheetName val="RESUMEN-NOMINA-ABRIL 2016"/>
      <sheetName val="RTEFTE"/>
      <sheetName val="CP CARMENZA "/>
      <sheetName val="CP TIQUETE"/>
      <sheetName val="CP LIQ ING GABRIEL"/>
      <sheetName val="HH"/>
      <sheetName val="Hoja2"/>
      <sheetName val="CP-GRUCON"/>
      <sheetName val="Hoja1"/>
      <sheetName val="Hoja4"/>
    </sheetNames>
    <sheetDataSet>
      <sheetData sheetId="0"/>
      <sheetData sheetId="1">
        <row r="198">
          <cell r="E198">
            <v>37990</v>
          </cell>
        </row>
        <row r="393">
          <cell r="E393">
            <v>9600</v>
          </cell>
        </row>
        <row r="396">
          <cell r="E396">
            <v>14950</v>
          </cell>
        </row>
        <row r="398">
          <cell r="E398">
            <v>23000</v>
          </cell>
        </row>
        <row r="399">
          <cell r="E399">
            <v>47100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  <pageSetUpPr fitToPage="1"/>
  </sheetPr>
  <dimension ref="A1:JH88"/>
  <sheetViews>
    <sheetView tabSelected="1" zoomScale="75" zoomScaleNormal="75" zoomScalePageLayoutView="75" workbookViewId="0">
      <pane ySplit="1" topLeftCell="A30" activePane="bottomLeft" state="frozen"/>
      <selection pane="bottomLeft" activeCell="AK21" sqref="AK21"/>
    </sheetView>
  </sheetViews>
  <sheetFormatPr baseColWidth="10" defaultColWidth="11.5" defaultRowHeight="15" x14ac:dyDescent="0.2"/>
  <cols>
    <col min="2" max="2" width="31.83203125" customWidth="1"/>
    <col min="3" max="3" width="59" customWidth="1"/>
    <col min="4" max="4" width="19.5" style="1" hidden="1" customWidth="1"/>
    <col min="5" max="5" width="18.83203125" style="1" hidden="1" customWidth="1"/>
    <col min="6" max="6" width="20.6640625" hidden="1" customWidth="1"/>
    <col min="7" max="7" width="15.5" hidden="1" customWidth="1"/>
    <col min="8" max="8" width="11.5" hidden="1" customWidth="1"/>
    <col min="9" max="9" width="19.5" style="1" hidden="1" customWidth="1"/>
    <col min="10" max="10" width="18.1640625" style="1" hidden="1" customWidth="1"/>
    <col min="11" max="13" width="21.5" style="1" hidden="1" customWidth="1"/>
    <col min="14" max="15" width="19.6640625" style="1" hidden="1" customWidth="1"/>
    <col min="16" max="16" width="18.6640625" style="1" hidden="1" customWidth="1"/>
    <col min="17" max="19" width="19.6640625" style="1" hidden="1" customWidth="1"/>
    <col min="20" max="20" width="19.6640625" style="49" hidden="1" customWidth="1"/>
    <col min="21" max="21" width="19.5" style="1" hidden="1" customWidth="1"/>
    <col min="22" max="22" width="26" style="1" hidden="1" customWidth="1"/>
    <col min="23" max="23" width="19.5" style="1" hidden="1" customWidth="1"/>
    <col min="24" max="24" width="24.83203125" style="1" hidden="1" customWidth="1"/>
    <col min="25" max="25" width="19.5" style="1" hidden="1" customWidth="1"/>
    <col min="26" max="26" width="22.33203125" style="1" hidden="1" customWidth="1"/>
    <col min="27" max="27" width="21.1640625" style="1" hidden="1" customWidth="1"/>
    <col min="28" max="28" width="18.33203125" style="1" hidden="1" customWidth="1"/>
    <col min="29" max="30" width="21.5" style="1" hidden="1" customWidth="1"/>
    <col min="31" max="31" width="8.6640625" style="1" hidden="1" customWidth="1"/>
    <col min="32" max="32" width="26.5" style="1" customWidth="1"/>
    <col min="33" max="33" width="0.1640625" hidden="1" customWidth="1"/>
    <col min="34" max="34" width="3.5" style="1" hidden="1" customWidth="1"/>
    <col min="35" max="35" width="0.5" customWidth="1"/>
    <col min="36" max="36" width="14.33203125" bestFit="1" customWidth="1"/>
    <col min="38" max="38" width="17" customWidth="1"/>
    <col min="269" max="269" width="18.1640625" customWidth="1"/>
    <col min="270" max="270" width="56.83203125" customWidth="1"/>
    <col min="271" max="271" width="19.5" customWidth="1"/>
    <col min="272" max="272" width="19.5" bestFit="1" customWidth="1"/>
    <col min="274" max="276" width="21.5" customWidth="1"/>
    <col min="277" max="277" width="19" customWidth="1"/>
    <col min="525" max="525" width="18.1640625" customWidth="1"/>
    <col min="526" max="526" width="56.83203125" customWidth="1"/>
    <col min="527" max="527" width="19.5" customWidth="1"/>
    <col min="528" max="528" width="19.5" bestFit="1" customWidth="1"/>
    <col min="530" max="532" width="21.5" customWidth="1"/>
    <col min="533" max="533" width="19" customWidth="1"/>
    <col min="781" max="781" width="18.1640625" customWidth="1"/>
    <col min="782" max="782" width="56.83203125" customWidth="1"/>
    <col min="783" max="783" width="19.5" customWidth="1"/>
    <col min="784" max="784" width="19.5" bestFit="1" customWidth="1"/>
    <col min="786" max="788" width="21.5" customWidth="1"/>
    <col min="789" max="789" width="19" customWidth="1"/>
    <col min="1037" max="1037" width="18.1640625" customWidth="1"/>
    <col min="1038" max="1038" width="56.83203125" customWidth="1"/>
    <col min="1039" max="1039" width="19.5" customWidth="1"/>
    <col min="1040" max="1040" width="19.5" bestFit="1" customWidth="1"/>
    <col min="1042" max="1044" width="21.5" customWidth="1"/>
    <col min="1045" max="1045" width="19" customWidth="1"/>
    <col min="1293" max="1293" width="18.1640625" customWidth="1"/>
    <col min="1294" max="1294" width="56.83203125" customWidth="1"/>
    <col min="1295" max="1295" width="19.5" customWidth="1"/>
    <col min="1296" max="1296" width="19.5" bestFit="1" customWidth="1"/>
    <col min="1298" max="1300" width="21.5" customWidth="1"/>
    <col min="1301" max="1301" width="19" customWidth="1"/>
    <col min="1549" max="1549" width="18.1640625" customWidth="1"/>
    <col min="1550" max="1550" width="56.83203125" customWidth="1"/>
    <col min="1551" max="1551" width="19.5" customWidth="1"/>
    <col min="1552" max="1552" width="19.5" bestFit="1" customWidth="1"/>
    <col min="1554" max="1556" width="21.5" customWidth="1"/>
    <col min="1557" max="1557" width="19" customWidth="1"/>
    <col min="1805" max="1805" width="18.1640625" customWidth="1"/>
    <col min="1806" max="1806" width="56.83203125" customWidth="1"/>
    <col min="1807" max="1807" width="19.5" customWidth="1"/>
    <col min="1808" max="1808" width="19.5" bestFit="1" customWidth="1"/>
    <col min="1810" max="1812" width="21.5" customWidth="1"/>
    <col min="1813" max="1813" width="19" customWidth="1"/>
    <col min="2061" max="2061" width="18.1640625" customWidth="1"/>
    <col min="2062" max="2062" width="56.83203125" customWidth="1"/>
    <col min="2063" max="2063" width="19.5" customWidth="1"/>
    <col min="2064" max="2064" width="19.5" bestFit="1" customWidth="1"/>
    <col min="2066" max="2068" width="21.5" customWidth="1"/>
    <col min="2069" max="2069" width="19" customWidth="1"/>
    <col min="2317" max="2317" width="18.1640625" customWidth="1"/>
    <col min="2318" max="2318" width="56.83203125" customWidth="1"/>
    <col min="2319" max="2319" width="19.5" customWidth="1"/>
    <col min="2320" max="2320" width="19.5" bestFit="1" customWidth="1"/>
    <col min="2322" max="2324" width="21.5" customWidth="1"/>
    <col min="2325" max="2325" width="19" customWidth="1"/>
    <col min="2573" max="2573" width="18.1640625" customWidth="1"/>
    <col min="2574" max="2574" width="56.83203125" customWidth="1"/>
    <col min="2575" max="2575" width="19.5" customWidth="1"/>
    <col min="2576" max="2576" width="19.5" bestFit="1" customWidth="1"/>
    <col min="2578" max="2580" width="21.5" customWidth="1"/>
    <col min="2581" max="2581" width="19" customWidth="1"/>
    <col min="2829" max="2829" width="18.1640625" customWidth="1"/>
    <col min="2830" max="2830" width="56.83203125" customWidth="1"/>
    <col min="2831" max="2831" width="19.5" customWidth="1"/>
    <col min="2832" max="2832" width="19.5" bestFit="1" customWidth="1"/>
    <col min="2834" max="2836" width="21.5" customWidth="1"/>
    <col min="2837" max="2837" width="19" customWidth="1"/>
    <col min="3085" max="3085" width="18.1640625" customWidth="1"/>
    <col min="3086" max="3086" width="56.83203125" customWidth="1"/>
    <col min="3087" max="3087" width="19.5" customWidth="1"/>
    <col min="3088" max="3088" width="19.5" bestFit="1" customWidth="1"/>
    <col min="3090" max="3092" width="21.5" customWidth="1"/>
    <col min="3093" max="3093" width="19" customWidth="1"/>
    <col min="3341" max="3341" width="18.1640625" customWidth="1"/>
    <col min="3342" max="3342" width="56.83203125" customWidth="1"/>
    <col min="3343" max="3343" width="19.5" customWidth="1"/>
    <col min="3344" max="3344" width="19.5" bestFit="1" customWidth="1"/>
    <col min="3346" max="3348" width="21.5" customWidth="1"/>
    <col min="3349" max="3349" width="19" customWidth="1"/>
    <col min="3597" max="3597" width="18.1640625" customWidth="1"/>
    <col min="3598" max="3598" width="56.83203125" customWidth="1"/>
    <col min="3599" max="3599" width="19.5" customWidth="1"/>
    <col min="3600" max="3600" width="19.5" bestFit="1" customWidth="1"/>
    <col min="3602" max="3604" width="21.5" customWidth="1"/>
    <col min="3605" max="3605" width="19" customWidth="1"/>
    <col min="3853" max="3853" width="18.1640625" customWidth="1"/>
    <col min="3854" max="3854" width="56.83203125" customWidth="1"/>
    <col min="3855" max="3855" width="19.5" customWidth="1"/>
    <col min="3856" max="3856" width="19.5" bestFit="1" customWidth="1"/>
    <col min="3858" max="3860" width="21.5" customWidth="1"/>
    <col min="3861" max="3861" width="19" customWidth="1"/>
    <col min="4109" max="4109" width="18.1640625" customWidth="1"/>
    <col min="4110" max="4110" width="56.83203125" customWidth="1"/>
    <col min="4111" max="4111" width="19.5" customWidth="1"/>
    <col min="4112" max="4112" width="19.5" bestFit="1" customWidth="1"/>
    <col min="4114" max="4116" width="21.5" customWidth="1"/>
    <col min="4117" max="4117" width="19" customWidth="1"/>
    <col min="4365" max="4365" width="18.1640625" customWidth="1"/>
    <col min="4366" max="4366" width="56.83203125" customWidth="1"/>
    <col min="4367" max="4367" width="19.5" customWidth="1"/>
    <col min="4368" max="4368" width="19.5" bestFit="1" customWidth="1"/>
    <col min="4370" max="4372" width="21.5" customWidth="1"/>
    <col min="4373" max="4373" width="19" customWidth="1"/>
    <col min="4621" max="4621" width="18.1640625" customWidth="1"/>
    <col min="4622" max="4622" width="56.83203125" customWidth="1"/>
    <col min="4623" max="4623" width="19.5" customWidth="1"/>
    <col min="4624" max="4624" width="19.5" bestFit="1" customWidth="1"/>
    <col min="4626" max="4628" width="21.5" customWidth="1"/>
    <col min="4629" max="4629" width="19" customWidth="1"/>
    <col min="4877" max="4877" width="18.1640625" customWidth="1"/>
    <col min="4878" max="4878" width="56.83203125" customWidth="1"/>
    <col min="4879" max="4879" width="19.5" customWidth="1"/>
    <col min="4880" max="4880" width="19.5" bestFit="1" customWidth="1"/>
    <col min="4882" max="4884" width="21.5" customWidth="1"/>
    <col min="4885" max="4885" width="19" customWidth="1"/>
    <col min="5133" max="5133" width="18.1640625" customWidth="1"/>
    <col min="5134" max="5134" width="56.83203125" customWidth="1"/>
    <col min="5135" max="5135" width="19.5" customWidth="1"/>
    <col min="5136" max="5136" width="19.5" bestFit="1" customWidth="1"/>
    <col min="5138" max="5140" width="21.5" customWidth="1"/>
    <col min="5141" max="5141" width="19" customWidth="1"/>
    <col min="5389" max="5389" width="18.1640625" customWidth="1"/>
    <col min="5390" max="5390" width="56.83203125" customWidth="1"/>
    <col min="5391" max="5391" width="19.5" customWidth="1"/>
    <col min="5392" max="5392" width="19.5" bestFit="1" customWidth="1"/>
    <col min="5394" max="5396" width="21.5" customWidth="1"/>
    <col min="5397" max="5397" width="19" customWidth="1"/>
    <col min="5645" max="5645" width="18.1640625" customWidth="1"/>
    <col min="5646" max="5646" width="56.83203125" customWidth="1"/>
    <col min="5647" max="5647" width="19.5" customWidth="1"/>
    <col min="5648" max="5648" width="19.5" bestFit="1" customWidth="1"/>
    <col min="5650" max="5652" width="21.5" customWidth="1"/>
    <col min="5653" max="5653" width="19" customWidth="1"/>
    <col min="5901" max="5901" width="18.1640625" customWidth="1"/>
    <col min="5902" max="5902" width="56.83203125" customWidth="1"/>
    <col min="5903" max="5903" width="19.5" customWidth="1"/>
    <col min="5904" max="5904" width="19.5" bestFit="1" customWidth="1"/>
    <col min="5906" max="5908" width="21.5" customWidth="1"/>
    <col min="5909" max="5909" width="19" customWidth="1"/>
    <col min="6157" max="6157" width="18.1640625" customWidth="1"/>
    <col min="6158" max="6158" width="56.83203125" customWidth="1"/>
    <col min="6159" max="6159" width="19.5" customWidth="1"/>
    <col min="6160" max="6160" width="19.5" bestFit="1" customWidth="1"/>
    <col min="6162" max="6164" width="21.5" customWidth="1"/>
    <col min="6165" max="6165" width="19" customWidth="1"/>
    <col min="6413" max="6413" width="18.1640625" customWidth="1"/>
    <col min="6414" max="6414" width="56.83203125" customWidth="1"/>
    <col min="6415" max="6415" width="19.5" customWidth="1"/>
    <col min="6416" max="6416" width="19.5" bestFit="1" customWidth="1"/>
    <col min="6418" max="6420" width="21.5" customWidth="1"/>
    <col min="6421" max="6421" width="19" customWidth="1"/>
    <col min="6669" max="6669" width="18.1640625" customWidth="1"/>
    <col min="6670" max="6670" width="56.83203125" customWidth="1"/>
    <col min="6671" max="6671" width="19.5" customWidth="1"/>
    <col min="6672" max="6672" width="19.5" bestFit="1" customWidth="1"/>
    <col min="6674" max="6676" width="21.5" customWidth="1"/>
    <col min="6677" max="6677" width="19" customWidth="1"/>
    <col min="6925" max="6925" width="18.1640625" customWidth="1"/>
    <col min="6926" max="6926" width="56.83203125" customWidth="1"/>
    <col min="6927" max="6927" width="19.5" customWidth="1"/>
    <col min="6928" max="6928" width="19.5" bestFit="1" customWidth="1"/>
    <col min="6930" max="6932" width="21.5" customWidth="1"/>
    <col min="6933" max="6933" width="19" customWidth="1"/>
    <col min="7181" max="7181" width="18.1640625" customWidth="1"/>
    <col min="7182" max="7182" width="56.83203125" customWidth="1"/>
    <col min="7183" max="7183" width="19.5" customWidth="1"/>
    <col min="7184" max="7184" width="19.5" bestFit="1" customWidth="1"/>
    <col min="7186" max="7188" width="21.5" customWidth="1"/>
    <col min="7189" max="7189" width="19" customWidth="1"/>
    <col min="7437" max="7437" width="18.1640625" customWidth="1"/>
    <col min="7438" max="7438" width="56.83203125" customWidth="1"/>
    <col min="7439" max="7439" width="19.5" customWidth="1"/>
    <col min="7440" max="7440" width="19.5" bestFit="1" customWidth="1"/>
    <col min="7442" max="7444" width="21.5" customWidth="1"/>
    <col min="7445" max="7445" width="19" customWidth="1"/>
    <col min="7693" max="7693" width="18.1640625" customWidth="1"/>
    <col min="7694" max="7694" width="56.83203125" customWidth="1"/>
    <col min="7695" max="7695" width="19.5" customWidth="1"/>
    <col min="7696" max="7696" width="19.5" bestFit="1" customWidth="1"/>
    <col min="7698" max="7700" width="21.5" customWidth="1"/>
    <col min="7701" max="7701" width="19" customWidth="1"/>
    <col min="7949" max="7949" width="18.1640625" customWidth="1"/>
    <col min="7950" max="7950" width="56.83203125" customWidth="1"/>
    <col min="7951" max="7951" width="19.5" customWidth="1"/>
    <col min="7952" max="7952" width="19.5" bestFit="1" customWidth="1"/>
    <col min="7954" max="7956" width="21.5" customWidth="1"/>
    <col min="7957" max="7957" width="19" customWidth="1"/>
    <col min="8205" max="8205" width="18.1640625" customWidth="1"/>
    <col min="8206" max="8206" width="56.83203125" customWidth="1"/>
    <col min="8207" max="8207" width="19.5" customWidth="1"/>
    <col min="8208" max="8208" width="19.5" bestFit="1" customWidth="1"/>
    <col min="8210" max="8212" width="21.5" customWidth="1"/>
    <col min="8213" max="8213" width="19" customWidth="1"/>
    <col min="8461" max="8461" width="18.1640625" customWidth="1"/>
    <col min="8462" max="8462" width="56.83203125" customWidth="1"/>
    <col min="8463" max="8463" width="19.5" customWidth="1"/>
    <col min="8464" max="8464" width="19.5" bestFit="1" customWidth="1"/>
    <col min="8466" max="8468" width="21.5" customWidth="1"/>
    <col min="8469" max="8469" width="19" customWidth="1"/>
    <col min="8717" max="8717" width="18.1640625" customWidth="1"/>
    <col min="8718" max="8718" width="56.83203125" customWidth="1"/>
    <col min="8719" max="8719" width="19.5" customWidth="1"/>
    <col min="8720" max="8720" width="19.5" bestFit="1" customWidth="1"/>
    <col min="8722" max="8724" width="21.5" customWidth="1"/>
    <col min="8725" max="8725" width="19" customWidth="1"/>
    <col min="8973" max="8973" width="18.1640625" customWidth="1"/>
    <col min="8974" max="8974" width="56.83203125" customWidth="1"/>
    <col min="8975" max="8975" width="19.5" customWidth="1"/>
    <col min="8976" max="8976" width="19.5" bestFit="1" customWidth="1"/>
    <col min="8978" max="8980" width="21.5" customWidth="1"/>
    <col min="8981" max="8981" width="19" customWidth="1"/>
    <col min="9229" max="9229" width="18.1640625" customWidth="1"/>
    <col min="9230" max="9230" width="56.83203125" customWidth="1"/>
    <col min="9231" max="9231" width="19.5" customWidth="1"/>
    <col min="9232" max="9232" width="19.5" bestFit="1" customWidth="1"/>
    <col min="9234" max="9236" width="21.5" customWidth="1"/>
    <col min="9237" max="9237" width="19" customWidth="1"/>
    <col min="9485" max="9485" width="18.1640625" customWidth="1"/>
    <col min="9486" max="9486" width="56.83203125" customWidth="1"/>
    <col min="9487" max="9487" width="19.5" customWidth="1"/>
    <col min="9488" max="9488" width="19.5" bestFit="1" customWidth="1"/>
    <col min="9490" max="9492" width="21.5" customWidth="1"/>
    <col min="9493" max="9493" width="19" customWidth="1"/>
    <col min="9741" max="9741" width="18.1640625" customWidth="1"/>
    <col min="9742" max="9742" width="56.83203125" customWidth="1"/>
    <col min="9743" max="9743" width="19.5" customWidth="1"/>
    <col min="9744" max="9744" width="19.5" bestFit="1" customWidth="1"/>
    <col min="9746" max="9748" width="21.5" customWidth="1"/>
    <col min="9749" max="9749" width="19" customWidth="1"/>
    <col min="9997" max="9997" width="18.1640625" customWidth="1"/>
    <col min="9998" max="9998" width="56.83203125" customWidth="1"/>
    <col min="9999" max="9999" width="19.5" customWidth="1"/>
    <col min="10000" max="10000" width="19.5" bestFit="1" customWidth="1"/>
    <col min="10002" max="10004" width="21.5" customWidth="1"/>
    <col min="10005" max="10005" width="19" customWidth="1"/>
    <col min="10253" max="10253" width="18.1640625" customWidth="1"/>
    <col min="10254" max="10254" width="56.83203125" customWidth="1"/>
    <col min="10255" max="10255" width="19.5" customWidth="1"/>
    <col min="10256" max="10256" width="19.5" bestFit="1" customWidth="1"/>
    <col min="10258" max="10260" width="21.5" customWidth="1"/>
    <col min="10261" max="10261" width="19" customWidth="1"/>
    <col min="10509" max="10509" width="18.1640625" customWidth="1"/>
    <col min="10510" max="10510" width="56.83203125" customWidth="1"/>
    <col min="10511" max="10511" width="19.5" customWidth="1"/>
    <col min="10512" max="10512" width="19.5" bestFit="1" customWidth="1"/>
    <col min="10514" max="10516" width="21.5" customWidth="1"/>
    <col min="10517" max="10517" width="19" customWidth="1"/>
    <col min="10765" max="10765" width="18.1640625" customWidth="1"/>
    <col min="10766" max="10766" width="56.83203125" customWidth="1"/>
    <col min="10767" max="10767" width="19.5" customWidth="1"/>
    <col min="10768" max="10768" width="19.5" bestFit="1" customWidth="1"/>
    <col min="10770" max="10772" width="21.5" customWidth="1"/>
    <col min="10773" max="10773" width="19" customWidth="1"/>
    <col min="11021" max="11021" width="18.1640625" customWidth="1"/>
    <col min="11022" max="11022" width="56.83203125" customWidth="1"/>
    <col min="11023" max="11023" width="19.5" customWidth="1"/>
    <col min="11024" max="11024" width="19.5" bestFit="1" customWidth="1"/>
    <col min="11026" max="11028" width="21.5" customWidth="1"/>
    <col min="11029" max="11029" width="19" customWidth="1"/>
    <col min="11277" max="11277" width="18.1640625" customWidth="1"/>
    <col min="11278" max="11278" width="56.83203125" customWidth="1"/>
    <col min="11279" max="11279" width="19.5" customWidth="1"/>
    <col min="11280" max="11280" width="19.5" bestFit="1" customWidth="1"/>
    <col min="11282" max="11284" width="21.5" customWidth="1"/>
    <col min="11285" max="11285" width="19" customWidth="1"/>
    <col min="11533" max="11533" width="18.1640625" customWidth="1"/>
    <col min="11534" max="11534" width="56.83203125" customWidth="1"/>
    <col min="11535" max="11535" width="19.5" customWidth="1"/>
    <col min="11536" max="11536" width="19.5" bestFit="1" customWidth="1"/>
    <col min="11538" max="11540" width="21.5" customWidth="1"/>
    <col min="11541" max="11541" width="19" customWidth="1"/>
    <col min="11789" max="11789" width="18.1640625" customWidth="1"/>
    <col min="11790" max="11790" width="56.83203125" customWidth="1"/>
    <col min="11791" max="11791" width="19.5" customWidth="1"/>
    <col min="11792" max="11792" width="19.5" bestFit="1" customWidth="1"/>
    <col min="11794" max="11796" width="21.5" customWidth="1"/>
    <col min="11797" max="11797" width="19" customWidth="1"/>
    <col min="12045" max="12045" width="18.1640625" customWidth="1"/>
    <col min="12046" max="12046" width="56.83203125" customWidth="1"/>
    <col min="12047" max="12047" width="19.5" customWidth="1"/>
    <col min="12048" max="12048" width="19.5" bestFit="1" customWidth="1"/>
    <col min="12050" max="12052" width="21.5" customWidth="1"/>
    <col min="12053" max="12053" width="19" customWidth="1"/>
    <col min="12301" max="12301" width="18.1640625" customWidth="1"/>
    <col min="12302" max="12302" width="56.83203125" customWidth="1"/>
    <col min="12303" max="12303" width="19.5" customWidth="1"/>
    <col min="12304" max="12304" width="19.5" bestFit="1" customWidth="1"/>
    <col min="12306" max="12308" width="21.5" customWidth="1"/>
    <col min="12309" max="12309" width="19" customWidth="1"/>
    <col min="12557" max="12557" width="18.1640625" customWidth="1"/>
    <col min="12558" max="12558" width="56.83203125" customWidth="1"/>
    <col min="12559" max="12559" width="19.5" customWidth="1"/>
    <col min="12560" max="12560" width="19.5" bestFit="1" customWidth="1"/>
    <col min="12562" max="12564" width="21.5" customWidth="1"/>
    <col min="12565" max="12565" width="19" customWidth="1"/>
    <col min="12813" max="12813" width="18.1640625" customWidth="1"/>
    <col min="12814" max="12814" width="56.83203125" customWidth="1"/>
    <col min="12815" max="12815" width="19.5" customWidth="1"/>
    <col min="12816" max="12816" width="19.5" bestFit="1" customWidth="1"/>
    <col min="12818" max="12820" width="21.5" customWidth="1"/>
    <col min="12821" max="12821" width="19" customWidth="1"/>
    <col min="13069" max="13069" width="18.1640625" customWidth="1"/>
    <col min="13070" max="13070" width="56.83203125" customWidth="1"/>
    <col min="13071" max="13071" width="19.5" customWidth="1"/>
    <col min="13072" max="13072" width="19.5" bestFit="1" customWidth="1"/>
    <col min="13074" max="13076" width="21.5" customWidth="1"/>
    <col min="13077" max="13077" width="19" customWidth="1"/>
    <col min="13325" max="13325" width="18.1640625" customWidth="1"/>
    <col min="13326" max="13326" width="56.83203125" customWidth="1"/>
    <col min="13327" max="13327" width="19.5" customWidth="1"/>
    <col min="13328" max="13328" width="19.5" bestFit="1" customWidth="1"/>
    <col min="13330" max="13332" width="21.5" customWidth="1"/>
    <col min="13333" max="13333" width="19" customWidth="1"/>
    <col min="13581" max="13581" width="18.1640625" customWidth="1"/>
    <col min="13582" max="13582" width="56.83203125" customWidth="1"/>
    <col min="13583" max="13583" width="19.5" customWidth="1"/>
    <col min="13584" max="13584" width="19.5" bestFit="1" customWidth="1"/>
    <col min="13586" max="13588" width="21.5" customWidth="1"/>
    <col min="13589" max="13589" width="19" customWidth="1"/>
    <col min="13837" max="13837" width="18.1640625" customWidth="1"/>
    <col min="13838" max="13838" width="56.83203125" customWidth="1"/>
    <col min="13839" max="13839" width="19.5" customWidth="1"/>
    <col min="13840" max="13840" width="19.5" bestFit="1" customWidth="1"/>
    <col min="13842" max="13844" width="21.5" customWidth="1"/>
    <col min="13845" max="13845" width="19" customWidth="1"/>
    <col min="14093" max="14093" width="18.1640625" customWidth="1"/>
    <col min="14094" max="14094" width="56.83203125" customWidth="1"/>
    <col min="14095" max="14095" width="19.5" customWidth="1"/>
    <col min="14096" max="14096" width="19.5" bestFit="1" customWidth="1"/>
    <col min="14098" max="14100" width="21.5" customWidth="1"/>
    <col min="14101" max="14101" width="19" customWidth="1"/>
    <col min="14349" max="14349" width="18.1640625" customWidth="1"/>
    <col min="14350" max="14350" width="56.83203125" customWidth="1"/>
    <col min="14351" max="14351" width="19.5" customWidth="1"/>
    <col min="14352" max="14352" width="19.5" bestFit="1" customWidth="1"/>
    <col min="14354" max="14356" width="21.5" customWidth="1"/>
    <col min="14357" max="14357" width="19" customWidth="1"/>
    <col min="14605" max="14605" width="18.1640625" customWidth="1"/>
    <col min="14606" max="14606" width="56.83203125" customWidth="1"/>
    <col min="14607" max="14607" width="19.5" customWidth="1"/>
    <col min="14608" max="14608" width="19.5" bestFit="1" customWidth="1"/>
    <col min="14610" max="14612" width="21.5" customWidth="1"/>
    <col min="14613" max="14613" width="19" customWidth="1"/>
    <col min="14861" max="14861" width="18.1640625" customWidth="1"/>
    <col min="14862" max="14862" width="56.83203125" customWidth="1"/>
    <col min="14863" max="14863" width="19.5" customWidth="1"/>
    <col min="14864" max="14864" width="19.5" bestFit="1" customWidth="1"/>
    <col min="14866" max="14868" width="21.5" customWidth="1"/>
    <col min="14869" max="14869" width="19" customWidth="1"/>
    <col min="15117" max="15117" width="18.1640625" customWidth="1"/>
    <col min="15118" max="15118" width="56.83203125" customWidth="1"/>
    <col min="15119" max="15119" width="19.5" customWidth="1"/>
    <col min="15120" max="15120" width="19.5" bestFit="1" customWidth="1"/>
    <col min="15122" max="15124" width="21.5" customWidth="1"/>
    <col min="15125" max="15125" width="19" customWidth="1"/>
    <col min="15373" max="15373" width="18.1640625" customWidth="1"/>
    <col min="15374" max="15374" width="56.83203125" customWidth="1"/>
    <col min="15375" max="15375" width="19.5" customWidth="1"/>
    <col min="15376" max="15376" width="19.5" bestFit="1" customWidth="1"/>
    <col min="15378" max="15380" width="21.5" customWidth="1"/>
    <col min="15381" max="15381" width="19" customWidth="1"/>
    <col min="15629" max="15629" width="18.1640625" customWidth="1"/>
    <col min="15630" max="15630" width="56.83203125" customWidth="1"/>
    <col min="15631" max="15631" width="19.5" customWidth="1"/>
    <col min="15632" max="15632" width="19.5" bestFit="1" customWidth="1"/>
    <col min="15634" max="15636" width="21.5" customWidth="1"/>
    <col min="15637" max="15637" width="19" customWidth="1"/>
    <col min="15885" max="15885" width="18.1640625" customWidth="1"/>
    <col min="15886" max="15886" width="56.83203125" customWidth="1"/>
    <col min="15887" max="15887" width="19.5" customWidth="1"/>
    <col min="15888" max="15888" width="19.5" bestFit="1" customWidth="1"/>
    <col min="15890" max="15892" width="21.5" customWidth="1"/>
    <col min="15893" max="15893" width="19" customWidth="1"/>
    <col min="16141" max="16141" width="18.1640625" customWidth="1"/>
    <col min="16142" max="16142" width="56.83203125" customWidth="1"/>
    <col min="16143" max="16143" width="19.5" customWidth="1"/>
    <col min="16144" max="16144" width="19.5" bestFit="1" customWidth="1"/>
    <col min="16146" max="16148" width="21.5" customWidth="1"/>
    <col min="16149" max="16149" width="19" customWidth="1"/>
  </cols>
  <sheetData>
    <row r="1" spans="2:268" ht="16" x14ac:dyDescent="0.2">
      <c r="O1" s="2"/>
      <c r="P1" s="42"/>
      <c r="Q1" s="3"/>
      <c r="R1" s="3"/>
      <c r="S1" s="3"/>
      <c r="T1" s="45"/>
      <c r="U1" s="42"/>
      <c r="V1" s="3"/>
      <c r="W1"/>
      <c r="X1" s="5"/>
      <c r="Y1" s="5"/>
      <c r="Z1" s="5"/>
      <c r="AF1" s="5"/>
      <c r="AH1" s="4"/>
    </row>
    <row r="2" spans="2:268" ht="17" thickBot="1" x14ac:dyDescent="0.25">
      <c r="N2" s="2"/>
      <c r="O2" s="2"/>
      <c r="P2" s="9"/>
      <c r="Q2" s="9"/>
      <c r="R2" s="3"/>
      <c r="S2" s="3"/>
      <c r="T2" s="46"/>
      <c r="U2" s="9"/>
      <c r="V2" s="3"/>
      <c r="W2"/>
      <c r="AH2" s="4"/>
    </row>
    <row r="3" spans="2:268" ht="34" x14ac:dyDescent="0.2">
      <c r="C3" s="7" t="s">
        <v>0</v>
      </c>
      <c r="D3" s="8"/>
      <c r="E3" s="8"/>
      <c r="I3" s="8"/>
      <c r="J3" s="9">
        <f t="shared" ref="J3:N3" si="0">+J12</f>
        <v>14760418.543333333</v>
      </c>
      <c r="K3" s="9">
        <f t="shared" si="0"/>
        <v>18799069.333333336</v>
      </c>
      <c r="L3" s="9">
        <f t="shared" si="0"/>
        <v>14739204.333333334</v>
      </c>
      <c r="M3" s="9">
        <f t="shared" si="0"/>
        <v>0</v>
      </c>
      <c r="N3" s="9">
        <f t="shared" si="0"/>
        <v>16616403.85770875</v>
      </c>
      <c r="O3" s="9"/>
      <c r="P3" s="9"/>
      <c r="Q3" s="9"/>
      <c r="R3" s="9"/>
      <c r="S3" s="9"/>
      <c r="T3" s="46"/>
      <c r="U3" s="9"/>
      <c r="V3" s="9"/>
      <c r="W3" s="37"/>
      <c r="X3" s="8"/>
      <c r="Y3" s="8"/>
      <c r="Z3" s="8"/>
      <c r="AA3" s="8"/>
      <c r="AB3" s="8"/>
      <c r="AC3" s="8"/>
      <c r="AD3" s="8"/>
      <c r="AE3" s="8"/>
      <c r="AF3" s="8"/>
      <c r="AH3" s="123" t="s">
        <v>1</v>
      </c>
    </row>
    <row r="4" spans="2:268" ht="35" thickBot="1" x14ac:dyDescent="0.25">
      <c r="C4" s="10" t="s">
        <v>2</v>
      </c>
      <c r="D4" s="8"/>
      <c r="E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45"/>
      <c r="U4" s="8"/>
      <c r="V4" s="8"/>
      <c r="W4" s="37"/>
      <c r="X4" s="8"/>
      <c r="Y4" s="8"/>
      <c r="Z4" s="8"/>
      <c r="AA4" s="8"/>
      <c r="AB4" s="8"/>
      <c r="AC4" s="8"/>
      <c r="AD4" s="8"/>
      <c r="AE4" s="8"/>
      <c r="AF4" s="8"/>
      <c r="AH4" s="124"/>
    </row>
    <row r="5" spans="2:268" ht="172" thickBot="1" x14ac:dyDescent="0.25">
      <c r="B5" s="51"/>
      <c r="C5" s="52" t="s">
        <v>3</v>
      </c>
      <c r="D5" s="53">
        <v>2015</v>
      </c>
      <c r="E5" s="53">
        <v>2016</v>
      </c>
      <c r="F5" s="51"/>
      <c r="G5" s="51"/>
      <c r="H5" s="51"/>
      <c r="I5" s="54" t="s">
        <v>4</v>
      </c>
      <c r="J5" s="55" t="s">
        <v>5</v>
      </c>
      <c r="K5" s="55" t="s">
        <v>6</v>
      </c>
      <c r="L5" s="55" t="s">
        <v>7</v>
      </c>
      <c r="M5" s="55" t="s">
        <v>8</v>
      </c>
      <c r="N5" s="55" t="s">
        <v>9</v>
      </c>
      <c r="O5" s="54" t="s">
        <v>10</v>
      </c>
      <c r="P5" s="55" t="s">
        <v>11</v>
      </c>
      <c r="Q5" s="55" t="s">
        <v>12</v>
      </c>
      <c r="R5" s="55" t="s">
        <v>13</v>
      </c>
      <c r="S5" s="55" t="s">
        <v>14</v>
      </c>
      <c r="T5" s="56" t="s">
        <v>15</v>
      </c>
      <c r="U5" s="55" t="s">
        <v>16</v>
      </c>
      <c r="V5" s="56" t="s">
        <v>17</v>
      </c>
      <c r="W5" s="55" t="s">
        <v>18</v>
      </c>
      <c r="X5" s="55" t="s">
        <v>19</v>
      </c>
      <c r="Y5" s="55" t="s">
        <v>20</v>
      </c>
      <c r="Z5" s="55" t="s">
        <v>21</v>
      </c>
      <c r="AA5" s="56" t="s">
        <v>22</v>
      </c>
      <c r="AB5" s="55" t="s">
        <v>23</v>
      </c>
      <c r="AC5" s="55" t="s">
        <v>24</v>
      </c>
      <c r="AD5" s="55" t="s">
        <v>25</v>
      </c>
      <c r="AE5" s="51"/>
      <c r="AF5" s="53">
        <v>2017</v>
      </c>
      <c r="AH5" s="11" t="s">
        <v>26</v>
      </c>
    </row>
    <row r="6" spans="2:268" ht="20" thickBot="1" x14ac:dyDescent="0.25">
      <c r="B6" s="57">
        <v>1</v>
      </c>
      <c r="C6" s="58" t="s">
        <v>27</v>
      </c>
      <c r="D6" s="59">
        <v>500000000</v>
      </c>
      <c r="E6" s="59">
        <v>979324869</v>
      </c>
      <c r="F6" s="51"/>
      <c r="G6" s="51"/>
      <c r="H6" s="51"/>
      <c r="I6" s="59">
        <v>48000000</v>
      </c>
      <c r="J6" s="59">
        <f>+I6-J12</f>
        <v>33239581.456666667</v>
      </c>
      <c r="K6" s="59">
        <f t="shared" ref="K6:L6" si="1">+J6-K12</f>
        <v>14440512.123333331</v>
      </c>
      <c r="L6" s="59">
        <f t="shared" si="1"/>
        <v>-298692.21000000276</v>
      </c>
      <c r="M6" s="59">
        <f>+L6+M10</f>
        <v>99701307.789999992</v>
      </c>
      <c r="N6" s="59">
        <f>M6-N12</f>
        <v>83084903.93229124</v>
      </c>
      <c r="O6" s="59">
        <f>+O10+N6</f>
        <v>483084903.93229127</v>
      </c>
      <c r="P6" s="59">
        <f t="shared" ref="P6:S6" si="2">+O6-P12</f>
        <v>458729029.37395793</v>
      </c>
      <c r="Q6" s="59">
        <f t="shared" si="2"/>
        <v>434175931.16562462</v>
      </c>
      <c r="R6" s="59">
        <f t="shared" si="2"/>
        <v>408943269.90729129</v>
      </c>
      <c r="S6" s="59">
        <f t="shared" si="2"/>
        <v>384758539.64895797</v>
      </c>
      <c r="T6" s="60"/>
      <c r="U6" s="61">
        <f>+S6-U12</f>
        <v>342666299.22495794</v>
      </c>
      <c r="V6" s="61"/>
      <c r="W6" s="61">
        <f>+U6+W10</f>
        <v>742666299.22495794</v>
      </c>
      <c r="X6" s="61">
        <f>+W6-X12</f>
        <v>589282242.63429129</v>
      </c>
      <c r="Y6" s="59">
        <f>+X6-Y12</f>
        <v>391026057.04362464</v>
      </c>
      <c r="Z6" s="59">
        <f>+Y6-Z12</f>
        <v>331587974.45295799</v>
      </c>
      <c r="AA6" s="59"/>
      <c r="AB6" s="59"/>
      <c r="AC6" s="59">
        <f>+AC8-AC10</f>
        <v>0</v>
      </c>
      <c r="AD6" s="59"/>
      <c r="AE6" s="59"/>
      <c r="AF6" s="59">
        <f>+AF8+AF10</f>
        <v>962912843.51295793</v>
      </c>
      <c r="AH6" s="12"/>
    </row>
    <row r="7" spans="2:268" s="13" customFormat="1" ht="8.25" customHeight="1" thickBot="1" x14ac:dyDescent="0.3">
      <c r="B7" s="62"/>
      <c r="C7" s="63"/>
      <c r="D7" s="64"/>
      <c r="E7" s="64"/>
      <c r="F7" s="63"/>
      <c r="G7" s="63"/>
      <c r="H7" s="63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5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/>
      <c r="AH7" s="38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</row>
    <row r="8" spans="2:268" ht="20" thickBot="1" x14ac:dyDescent="0.25">
      <c r="B8" s="66" t="s">
        <v>28</v>
      </c>
      <c r="C8" s="67" t="s">
        <v>29</v>
      </c>
      <c r="D8" s="68">
        <v>0</v>
      </c>
      <c r="E8" s="68">
        <v>30000000</v>
      </c>
      <c r="F8" s="51"/>
      <c r="G8" s="51"/>
      <c r="H8" s="51"/>
      <c r="I8" s="68">
        <v>48000000</v>
      </c>
      <c r="J8" s="68"/>
      <c r="K8" s="68"/>
      <c r="L8" s="68"/>
      <c r="M8" s="68"/>
      <c r="N8" s="68"/>
      <c r="O8" s="68"/>
      <c r="P8" s="69"/>
      <c r="Q8" s="69"/>
      <c r="R8" s="69"/>
      <c r="S8" s="69"/>
      <c r="T8" s="70"/>
      <c r="U8" s="68"/>
      <c r="V8" s="68"/>
      <c r="W8" s="69"/>
      <c r="X8" s="71"/>
      <c r="Y8" s="71"/>
      <c r="Z8" s="71"/>
      <c r="AA8" s="68"/>
      <c r="AB8" s="68"/>
      <c r="AC8" s="68"/>
      <c r="AD8" s="68"/>
      <c r="AE8" s="68"/>
      <c r="AF8" s="71">
        <f>+AB12</f>
        <v>362912843.51295793</v>
      </c>
      <c r="AH8" s="39"/>
    </row>
    <row r="9" spans="2:268" s="13" customFormat="1" ht="8.25" customHeight="1" thickBot="1" x14ac:dyDescent="0.3">
      <c r="B9" s="62"/>
      <c r="C9" s="63"/>
      <c r="D9" s="64"/>
      <c r="E9" s="64"/>
      <c r="F9" s="63"/>
      <c r="G9" s="63"/>
      <c r="H9" s="63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5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/>
      <c r="AH9" s="38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</row>
    <row r="10" spans="2:268" ht="20" thickBot="1" x14ac:dyDescent="0.25">
      <c r="B10" s="66" t="s">
        <v>30</v>
      </c>
      <c r="C10" s="67" t="s">
        <v>31</v>
      </c>
      <c r="D10" s="68">
        <v>500000000</v>
      </c>
      <c r="E10" s="68">
        <v>949324869</v>
      </c>
      <c r="F10" s="51"/>
      <c r="G10" s="51"/>
      <c r="H10" s="51"/>
      <c r="I10" s="68"/>
      <c r="J10" s="68"/>
      <c r="K10" s="68"/>
      <c r="L10" s="68"/>
      <c r="M10" s="68">
        <v>100000000</v>
      </c>
      <c r="N10" s="68"/>
      <c r="O10" s="68">
        <v>400000000</v>
      </c>
      <c r="P10" s="68"/>
      <c r="Q10" s="68"/>
      <c r="R10" s="68"/>
      <c r="S10" s="68"/>
      <c r="T10" s="72"/>
      <c r="U10" s="68"/>
      <c r="V10" s="68"/>
      <c r="W10" s="68">
        <v>400000000</v>
      </c>
      <c r="X10" s="68"/>
      <c r="Y10" s="68"/>
      <c r="Z10" s="68"/>
      <c r="AA10" s="68"/>
      <c r="AB10" s="68"/>
      <c r="AC10" s="68"/>
      <c r="AD10" s="68"/>
      <c r="AE10" s="68"/>
      <c r="AF10" s="68">
        <v>600000000</v>
      </c>
      <c r="AH10" s="14"/>
    </row>
    <row r="11" spans="2:268" ht="10.5" customHeight="1" thickBot="1" x14ac:dyDescent="0.3">
      <c r="B11" s="73"/>
      <c r="C11" s="51"/>
      <c r="D11" s="74"/>
      <c r="E11" s="74"/>
      <c r="F11" s="51"/>
      <c r="G11" s="51"/>
      <c r="H11" s="51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5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H11" s="40"/>
    </row>
    <row r="12" spans="2:268" ht="20" thickBot="1" x14ac:dyDescent="0.25">
      <c r="B12" s="76">
        <v>2</v>
      </c>
      <c r="C12" s="77" t="s">
        <v>32</v>
      </c>
      <c r="D12" s="78">
        <f t="shared" ref="D12:AB12" si="3">+D14+D69</f>
        <v>500000000</v>
      </c>
      <c r="E12" s="78">
        <f t="shared" si="3"/>
        <v>979324869.05999994</v>
      </c>
      <c r="F12" s="78">
        <f t="shared" si="3"/>
        <v>246851289.06</v>
      </c>
      <c r="G12" s="78">
        <f t="shared" si="3"/>
        <v>246851289.06</v>
      </c>
      <c r="H12" s="78">
        <f t="shared" si="3"/>
        <v>0</v>
      </c>
      <c r="I12" s="78">
        <f t="shared" si="3"/>
        <v>47845647</v>
      </c>
      <c r="J12" s="78">
        <f t="shared" si="3"/>
        <v>14760418.543333333</v>
      </c>
      <c r="K12" s="78">
        <f t="shared" si="3"/>
        <v>18799069.333333336</v>
      </c>
      <c r="L12" s="78">
        <f t="shared" si="3"/>
        <v>14739204.333333334</v>
      </c>
      <c r="M12" s="78">
        <f t="shared" si="3"/>
        <v>0</v>
      </c>
      <c r="N12" s="78">
        <f t="shared" si="3"/>
        <v>16616403.85770875</v>
      </c>
      <c r="O12" s="78">
        <f t="shared" si="3"/>
        <v>0</v>
      </c>
      <c r="P12" s="78">
        <f t="shared" si="3"/>
        <v>24355874.558333337</v>
      </c>
      <c r="Q12" s="78">
        <f t="shared" si="3"/>
        <v>24553098.208333336</v>
      </c>
      <c r="R12" s="78">
        <f t="shared" si="3"/>
        <v>25232661.258333333</v>
      </c>
      <c r="S12" s="78">
        <f t="shared" si="3"/>
        <v>24184730.258333333</v>
      </c>
      <c r="T12" s="79">
        <f t="shared" si="3"/>
        <v>163241460.35104209</v>
      </c>
      <c r="U12" s="78">
        <f t="shared" si="3"/>
        <v>42092240.424000002</v>
      </c>
      <c r="V12" s="78">
        <f t="shared" si="3"/>
        <v>205333700.77504212</v>
      </c>
      <c r="W12" s="78">
        <f t="shared" si="3"/>
        <v>0</v>
      </c>
      <c r="X12" s="78">
        <f t="shared" si="3"/>
        <v>153384056.59066665</v>
      </c>
      <c r="Y12" s="78">
        <f t="shared" si="3"/>
        <v>198256185.59066665</v>
      </c>
      <c r="Z12" s="78">
        <f t="shared" si="3"/>
        <v>59438082.590666667</v>
      </c>
      <c r="AA12" s="78">
        <f t="shared" si="3"/>
        <v>616412025.54704213</v>
      </c>
      <c r="AB12" s="78">
        <f t="shared" si="3"/>
        <v>362912843.51295793</v>
      </c>
      <c r="AC12" s="78"/>
      <c r="AD12" s="78"/>
      <c r="AE12" s="78"/>
      <c r="AF12" s="78">
        <f>+AF14+AF69</f>
        <v>960194051.73000002</v>
      </c>
      <c r="AH12" s="16">
        <f>+AH14+AH69</f>
        <v>79861977.029333338</v>
      </c>
      <c r="AI12" s="6"/>
    </row>
    <row r="13" spans="2:268" ht="6.75" customHeight="1" thickBot="1" x14ac:dyDescent="0.3">
      <c r="B13" s="73"/>
      <c r="C13" s="51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5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H13" s="40"/>
    </row>
    <row r="14" spans="2:268" ht="20" thickBot="1" x14ac:dyDescent="0.25">
      <c r="B14" s="80" t="s">
        <v>33</v>
      </c>
      <c r="C14" s="81" t="s">
        <v>34</v>
      </c>
      <c r="D14" s="82">
        <f t="shared" ref="D14:AB14" si="4">+D16+D47</f>
        <v>490000000</v>
      </c>
      <c r="E14" s="82">
        <f t="shared" si="4"/>
        <v>944324869.05999994</v>
      </c>
      <c r="F14" s="82">
        <f t="shared" si="4"/>
        <v>246851289.06</v>
      </c>
      <c r="G14" s="82">
        <f t="shared" si="4"/>
        <v>246851289.06</v>
      </c>
      <c r="H14" s="82">
        <f t="shared" si="4"/>
        <v>0</v>
      </c>
      <c r="I14" s="82">
        <f t="shared" si="4"/>
        <v>47845647</v>
      </c>
      <c r="J14" s="82">
        <f t="shared" si="4"/>
        <v>14760418.543333333</v>
      </c>
      <c r="K14" s="82">
        <f t="shared" si="4"/>
        <v>18799069.333333336</v>
      </c>
      <c r="L14" s="82">
        <f t="shared" si="4"/>
        <v>14739204.333333334</v>
      </c>
      <c r="M14" s="82">
        <f t="shared" si="4"/>
        <v>0</v>
      </c>
      <c r="N14" s="82">
        <f t="shared" si="4"/>
        <v>16616403.85770875</v>
      </c>
      <c r="O14" s="82">
        <f t="shared" si="4"/>
        <v>0</v>
      </c>
      <c r="P14" s="82">
        <f t="shared" si="4"/>
        <v>24355874.558333337</v>
      </c>
      <c r="Q14" s="82">
        <f t="shared" si="4"/>
        <v>24553098.208333336</v>
      </c>
      <c r="R14" s="82">
        <f t="shared" si="4"/>
        <v>25232661.258333333</v>
      </c>
      <c r="S14" s="82">
        <f t="shared" si="4"/>
        <v>24184730.258333333</v>
      </c>
      <c r="T14" s="83">
        <f t="shared" si="4"/>
        <v>163241460.35104209</v>
      </c>
      <c r="U14" s="82">
        <f t="shared" si="4"/>
        <v>42092240.424000002</v>
      </c>
      <c r="V14" s="82">
        <f t="shared" si="4"/>
        <v>205333700.77504212</v>
      </c>
      <c r="W14" s="82">
        <f t="shared" si="4"/>
        <v>0</v>
      </c>
      <c r="X14" s="82">
        <f t="shared" si="4"/>
        <v>153384056.59066665</v>
      </c>
      <c r="Y14" s="82">
        <f t="shared" si="4"/>
        <v>198256185.59066665</v>
      </c>
      <c r="Z14" s="82">
        <f t="shared" si="4"/>
        <v>59438082.590666667</v>
      </c>
      <c r="AA14" s="82">
        <f t="shared" si="4"/>
        <v>616412025.54704213</v>
      </c>
      <c r="AB14" s="82">
        <f t="shared" si="4"/>
        <v>327912843.51295793</v>
      </c>
      <c r="AC14" s="82"/>
      <c r="AD14" s="82"/>
      <c r="AE14" s="82"/>
      <c r="AF14" s="82">
        <f>+AF16+AF47</f>
        <v>925194051.73000002</v>
      </c>
      <c r="AH14" s="18">
        <f>+AH16+AH47</f>
        <v>79861977.029333338</v>
      </c>
    </row>
    <row r="15" spans="2:268" ht="8.25" customHeight="1" thickBot="1" x14ac:dyDescent="0.3">
      <c r="B15" s="73"/>
      <c r="C15" s="51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5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H15" s="40"/>
    </row>
    <row r="16" spans="2:268" ht="20" thickBot="1" x14ac:dyDescent="0.25">
      <c r="B16" s="84" t="s">
        <v>91</v>
      </c>
      <c r="C16" s="85" t="s">
        <v>35</v>
      </c>
      <c r="D16" s="86">
        <f t="shared" ref="D16:AB16" si="5">+D18+D27+D33</f>
        <v>416473333</v>
      </c>
      <c r="E16" s="86">
        <f t="shared" si="5"/>
        <v>766401789.05999994</v>
      </c>
      <c r="F16" s="86">
        <f t="shared" si="5"/>
        <v>246851289.06</v>
      </c>
      <c r="G16" s="86">
        <f t="shared" si="5"/>
        <v>246851289.06</v>
      </c>
      <c r="H16" s="86">
        <f t="shared" si="5"/>
        <v>0</v>
      </c>
      <c r="I16" s="86">
        <f t="shared" si="5"/>
        <v>39137120</v>
      </c>
      <c r="J16" s="86">
        <f t="shared" si="5"/>
        <v>12112373.333333334</v>
      </c>
      <c r="K16" s="86">
        <f t="shared" si="5"/>
        <v>14912373.333333334</v>
      </c>
      <c r="L16" s="86">
        <f t="shared" si="5"/>
        <v>12112373.333333334</v>
      </c>
      <c r="M16" s="86">
        <f t="shared" si="5"/>
        <v>0</v>
      </c>
      <c r="N16" s="86">
        <f t="shared" si="5"/>
        <v>12521044.85770875</v>
      </c>
      <c r="O16" s="86">
        <f t="shared" si="5"/>
        <v>0</v>
      </c>
      <c r="P16" s="86">
        <f t="shared" si="5"/>
        <v>21485413.208333336</v>
      </c>
      <c r="Q16" s="86">
        <f t="shared" si="5"/>
        <v>21836413.208333336</v>
      </c>
      <c r="R16" s="86">
        <f t="shared" si="5"/>
        <v>21485408.258333333</v>
      </c>
      <c r="S16" s="86">
        <f t="shared" si="5"/>
        <v>21485408.258333333</v>
      </c>
      <c r="T16" s="87">
        <f t="shared" si="5"/>
        <v>137950807.79104209</v>
      </c>
      <c r="U16" s="86">
        <f t="shared" si="5"/>
        <v>39095619.424000002</v>
      </c>
      <c r="V16" s="86">
        <f t="shared" si="5"/>
        <v>177046427.21504211</v>
      </c>
      <c r="W16" s="86">
        <f t="shared" si="5"/>
        <v>0</v>
      </c>
      <c r="X16" s="86">
        <f t="shared" si="5"/>
        <v>149169397.59066665</v>
      </c>
      <c r="Y16" s="86">
        <f t="shared" si="5"/>
        <v>194760297.59066665</v>
      </c>
      <c r="Z16" s="86">
        <f t="shared" si="5"/>
        <v>53911668.590666667</v>
      </c>
      <c r="AA16" s="86">
        <f t="shared" si="5"/>
        <v>574887790.98704207</v>
      </c>
      <c r="AB16" s="86">
        <f t="shared" si="5"/>
        <v>191513998.0729579</v>
      </c>
      <c r="AC16" s="86"/>
      <c r="AD16" s="86"/>
      <c r="AE16" s="86"/>
      <c r="AF16" s="86">
        <f>+AF18+AF27+AF33</f>
        <v>852660161</v>
      </c>
      <c r="AH16" s="19">
        <f>+AH18+AH27+AH33</f>
        <v>68511161.029333338</v>
      </c>
    </row>
    <row r="17" spans="1:38" ht="7.5" customHeight="1" thickBot="1" x14ac:dyDescent="0.3">
      <c r="B17" s="73"/>
      <c r="C17" s="51"/>
      <c r="D17" s="74"/>
      <c r="E17" s="74"/>
      <c r="F17" s="51"/>
      <c r="G17" s="51"/>
      <c r="H17" s="51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5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H17" s="40"/>
    </row>
    <row r="18" spans="1:38" ht="20" thickBot="1" x14ac:dyDescent="0.25">
      <c r="B18" s="88" t="s">
        <v>92</v>
      </c>
      <c r="C18" s="88" t="s">
        <v>36</v>
      </c>
      <c r="D18" s="89">
        <f>SUM(D19:D26)</f>
        <v>73773333</v>
      </c>
      <c r="E18" s="89">
        <f t="shared" ref="E18:L18" si="6">SUM(E19:E25)</f>
        <v>184954875</v>
      </c>
      <c r="F18" s="89">
        <f t="shared" si="6"/>
        <v>184954875</v>
      </c>
      <c r="G18" s="89">
        <f t="shared" si="6"/>
        <v>0</v>
      </c>
      <c r="H18" s="89">
        <f t="shared" si="6"/>
        <v>0</v>
      </c>
      <c r="I18" s="89">
        <f t="shared" si="6"/>
        <v>23625000</v>
      </c>
      <c r="J18" s="89">
        <f t="shared" si="6"/>
        <v>7875000</v>
      </c>
      <c r="K18" s="89">
        <f t="shared" si="6"/>
        <v>7875000</v>
      </c>
      <c r="L18" s="89">
        <f t="shared" si="6"/>
        <v>7875000</v>
      </c>
      <c r="M18" s="89">
        <f>SUM(M19:M26)</f>
        <v>0</v>
      </c>
      <c r="N18" s="89">
        <f>SUM(N19:N26)</f>
        <v>8344113.7499212492</v>
      </c>
      <c r="O18" s="89">
        <f t="shared" ref="O18:AB18" si="7">SUM(O19:O25)</f>
        <v>0</v>
      </c>
      <c r="P18" s="89">
        <f t="shared" si="7"/>
        <v>10305506.250000002</v>
      </c>
      <c r="Q18" s="89">
        <f t="shared" si="7"/>
        <v>10656506.250000002</v>
      </c>
      <c r="R18" s="89">
        <f t="shared" si="7"/>
        <v>10305506.250000002</v>
      </c>
      <c r="S18" s="89">
        <f t="shared" si="7"/>
        <v>10305506.250000002</v>
      </c>
      <c r="T18" s="90">
        <f t="shared" si="7"/>
        <v>73542138.749921262</v>
      </c>
      <c r="U18" s="89">
        <f t="shared" si="7"/>
        <v>9542135.4166666679</v>
      </c>
      <c r="V18" s="89">
        <f t="shared" si="7"/>
        <v>83084274.166587934</v>
      </c>
      <c r="W18" s="89">
        <f t="shared" si="7"/>
        <v>0</v>
      </c>
      <c r="X18" s="89">
        <f t="shared" si="7"/>
        <v>9992135.4166666679</v>
      </c>
      <c r="Y18" s="89">
        <f t="shared" si="7"/>
        <v>9992135.4166666679</v>
      </c>
      <c r="Z18" s="89">
        <f t="shared" si="7"/>
        <v>16147538.416666666</v>
      </c>
      <c r="AA18" s="89">
        <f t="shared" si="7"/>
        <v>119216083.41658793</v>
      </c>
      <c r="AB18" s="89">
        <f t="shared" si="7"/>
        <v>65738791.583412074</v>
      </c>
      <c r="AC18" s="89"/>
      <c r="AD18" s="89"/>
      <c r="AE18" s="89"/>
      <c r="AF18" s="89">
        <f>SUM(AF19:AF26)</f>
        <v>147783360</v>
      </c>
      <c r="AH18" s="20">
        <f>SUM(AH19:AH25)</f>
        <v>41222025.000000007</v>
      </c>
    </row>
    <row r="19" spans="1:38" ht="24" customHeight="1" thickBot="1" x14ac:dyDescent="0.25">
      <c r="B19" s="91" t="s">
        <v>93</v>
      </c>
      <c r="C19" s="91" t="s">
        <v>37</v>
      </c>
      <c r="D19" s="92">
        <v>63000000</v>
      </c>
      <c r="E19" s="92">
        <v>148473000</v>
      </c>
      <c r="F19" s="93">
        <v>148473000</v>
      </c>
      <c r="G19" s="51"/>
      <c r="H19" s="51"/>
      <c r="I19" s="92">
        <v>21000000</v>
      </c>
      <c r="J19" s="92">
        <v>7000000</v>
      </c>
      <c r="K19" s="92">
        <v>7000000</v>
      </c>
      <c r="L19" s="92">
        <v>7000000</v>
      </c>
      <c r="M19" s="92"/>
      <c r="N19" s="92">
        <f>1633333.33333+5783656.6666</f>
        <v>7416989.9999299999</v>
      </c>
      <c r="O19" s="92"/>
      <c r="P19" s="92">
        <v>9160450.0000000019</v>
      </c>
      <c r="Q19" s="92">
        <v>9160450.0000000019</v>
      </c>
      <c r="R19" s="92">
        <v>9160450.0000000019</v>
      </c>
      <c r="S19" s="92">
        <v>9160450.0000000019</v>
      </c>
      <c r="T19" s="94">
        <f>+S19+R19+Q19+P19+N19+L19+K19+J19</f>
        <v>65058789.999930009</v>
      </c>
      <c r="U19" s="92">
        <v>9160450.0000000019</v>
      </c>
      <c r="V19" s="92">
        <f>+T19+U19</f>
        <v>74219239.999930009</v>
      </c>
      <c r="W19" s="92"/>
      <c r="X19" s="92">
        <v>9160450.0000000019</v>
      </c>
      <c r="Y19" s="92">
        <v>9160450.0000000019</v>
      </c>
      <c r="Z19" s="92">
        <f>7543900+1616550</f>
        <v>9160450</v>
      </c>
      <c r="AA19" s="92">
        <f>+V19+X19+Y19+Z19</f>
        <v>101700589.99993001</v>
      </c>
      <c r="AB19" s="92">
        <f>+E19-AA19</f>
        <v>46772410.000069991</v>
      </c>
      <c r="AC19" s="92"/>
      <c r="AD19" s="92"/>
      <c r="AE19" s="92"/>
      <c r="AF19" s="92">
        <f>117620178</f>
        <v>117620178</v>
      </c>
      <c r="AH19" s="22">
        <v>36641800.000000007</v>
      </c>
      <c r="AI19" s="50" t="s">
        <v>38</v>
      </c>
    </row>
    <row r="20" spans="1:38" ht="20" thickBot="1" x14ac:dyDescent="0.25">
      <c r="B20" s="91" t="s">
        <v>94</v>
      </c>
      <c r="C20" s="91" t="s">
        <v>39</v>
      </c>
      <c r="D20" s="92">
        <v>4000000</v>
      </c>
      <c r="E20" s="92">
        <v>6186375</v>
      </c>
      <c r="F20" s="93">
        <v>6186375</v>
      </c>
      <c r="G20" s="51"/>
      <c r="H20" s="51"/>
      <c r="I20" s="92">
        <v>875000</v>
      </c>
      <c r="J20" s="92">
        <v>291666.66666666669</v>
      </c>
      <c r="K20" s="92">
        <v>291666.66666666669</v>
      </c>
      <c r="L20" s="92">
        <v>291666.66666666669</v>
      </c>
      <c r="M20" s="92"/>
      <c r="N20" s="92">
        <f>N19/24</f>
        <v>309041.24999708333</v>
      </c>
      <c r="O20" s="92"/>
      <c r="P20" s="92">
        <v>381685.41666666669</v>
      </c>
      <c r="Q20" s="92">
        <v>381685.41666666669</v>
      </c>
      <c r="R20" s="92">
        <v>381685.41666666669</v>
      </c>
      <c r="S20" s="92">
        <v>381685.41666666669</v>
      </c>
      <c r="T20" s="94">
        <f t="shared" ref="T20:T25" si="8">+S20+R20+Q20+P20+N20+L20+K20+J20</f>
        <v>2710782.9166637496</v>
      </c>
      <c r="U20" s="92">
        <v>381685.41666666669</v>
      </c>
      <c r="V20" s="92">
        <f t="shared" ref="V20:V25" si="9">+T20+U20</f>
        <v>3092468.3333304161</v>
      </c>
      <c r="W20" s="92"/>
      <c r="X20" s="92">
        <v>381685.41666666669</v>
      </c>
      <c r="Y20" s="92">
        <v>381685.41666666669</v>
      </c>
      <c r="Z20" s="92">
        <v>381685.41666666669</v>
      </c>
      <c r="AA20" s="92">
        <f t="shared" ref="AA20:AA25" si="10">+V20+X20+Y20+Z20</f>
        <v>4237524.5833304161</v>
      </c>
      <c r="AB20" s="92">
        <f t="shared" ref="AB20:AB25" si="11">+E20-AA20</f>
        <v>1948850.4166695839</v>
      </c>
      <c r="AC20" s="92"/>
      <c r="AD20" s="92"/>
      <c r="AE20" s="92"/>
      <c r="AF20" s="92">
        <v>4900841</v>
      </c>
      <c r="AH20" s="22">
        <v>1526741.6666666667</v>
      </c>
      <c r="AJ20" s="44"/>
    </row>
    <row r="21" spans="1:38" ht="20" thickBot="1" x14ac:dyDescent="0.25">
      <c r="B21" s="91" t="s">
        <v>95</v>
      </c>
      <c r="C21" s="91" t="s">
        <v>40</v>
      </c>
      <c r="D21" s="92"/>
      <c r="E21" s="92">
        <v>0</v>
      </c>
      <c r="F21" s="93">
        <v>0</v>
      </c>
      <c r="G21" s="51"/>
      <c r="H21" s="51"/>
      <c r="I21" s="92">
        <v>0</v>
      </c>
      <c r="J21" s="92">
        <v>0</v>
      </c>
      <c r="K21" s="92">
        <v>0</v>
      </c>
      <c r="L21" s="92">
        <v>0</v>
      </c>
      <c r="M21" s="92"/>
      <c r="N21" s="92"/>
      <c r="O21" s="92"/>
      <c r="P21" s="92"/>
      <c r="Q21" s="92">
        <v>0</v>
      </c>
      <c r="R21" s="92">
        <v>0</v>
      </c>
      <c r="S21" s="92">
        <v>0</v>
      </c>
      <c r="T21" s="94">
        <f t="shared" si="8"/>
        <v>0</v>
      </c>
      <c r="U21" s="92"/>
      <c r="V21" s="92">
        <f t="shared" si="9"/>
        <v>0</v>
      </c>
      <c r="W21" s="92"/>
      <c r="X21" s="92"/>
      <c r="Y21" s="92"/>
      <c r="Z21" s="92"/>
      <c r="AA21" s="92">
        <f t="shared" si="10"/>
        <v>0</v>
      </c>
      <c r="AB21" s="92">
        <f t="shared" si="11"/>
        <v>0</v>
      </c>
      <c r="AC21" s="92"/>
      <c r="AD21" s="92"/>
      <c r="AE21" s="92"/>
      <c r="AF21" s="92">
        <v>0</v>
      </c>
      <c r="AH21" s="22">
        <v>0</v>
      </c>
      <c r="AJ21" s="6"/>
    </row>
    <row r="22" spans="1:38" ht="20" thickBot="1" x14ac:dyDescent="0.25">
      <c r="B22" s="91" t="s">
        <v>96</v>
      </c>
      <c r="C22" s="91" t="s">
        <v>41</v>
      </c>
      <c r="D22" s="92">
        <v>500000</v>
      </c>
      <c r="E22" s="92">
        <v>550000</v>
      </c>
      <c r="F22" s="93">
        <v>550000</v>
      </c>
      <c r="G22" s="51"/>
      <c r="H22" s="51"/>
      <c r="I22" s="92">
        <v>0</v>
      </c>
      <c r="J22" s="92">
        <v>0</v>
      </c>
      <c r="K22" s="92">
        <v>0</v>
      </c>
      <c r="L22" s="92">
        <v>0</v>
      </c>
      <c r="M22" s="92"/>
      <c r="N22" s="92"/>
      <c r="O22" s="92"/>
      <c r="P22" s="92"/>
      <c r="Q22" s="92">
        <v>0</v>
      </c>
      <c r="R22" s="92">
        <v>0</v>
      </c>
      <c r="S22" s="92">
        <v>0</v>
      </c>
      <c r="T22" s="94">
        <f t="shared" si="8"/>
        <v>0</v>
      </c>
      <c r="U22" s="92"/>
      <c r="V22" s="92">
        <f t="shared" si="9"/>
        <v>0</v>
      </c>
      <c r="W22" s="92"/>
      <c r="X22" s="92"/>
      <c r="Y22" s="92"/>
      <c r="Z22" s="92"/>
      <c r="AA22" s="92">
        <f t="shared" si="10"/>
        <v>0</v>
      </c>
      <c r="AB22" s="92">
        <f t="shared" si="11"/>
        <v>550000</v>
      </c>
      <c r="AC22" s="92"/>
      <c r="AD22" s="92"/>
      <c r="AE22" s="92"/>
      <c r="AF22" s="92">
        <v>654000</v>
      </c>
      <c r="AH22" s="22">
        <v>0</v>
      </c>
    </row>
    <row r="23" spans="1:38" ht="20" thickBot="1" x14ac:dyDescent="0.25">
      <c r="B23" s="91" t="s">
        <v>97</v>
      </c>
      <c r="C23" s="91" t="s">
        <v>42</v>
      </c>
      <c r="D23" s="92"/>
      <c r="E23" s="92">
        <v>12372750</v>
      </c>
      <c r="F23" s="93">
        <v>12372750</v>
      </c>
      <c r="G23" s="51"/>
      <c r="H23" s="51"/>
      <c r="I23" s="92">
        <v>1750000</v>
      </c>
      <c r="J23" s="92">
        <v>583333.33333333337</v>
      </c>
      <c r="K23" s="92">
        <v>583333.33333333337</v>
      </c>
      <c r="L23" s="92">
        <v>583333.33333333337</v>
      </c>
      <c r="M23" s="92"/>
      <c r="N23" s="92">
        <f>N20*2</f>
        <v>618082.49999416666</v>
      </c>
      <c r="O23" s="92"/>
      <c r="P23" s="92">
        <v>763370.83333333337</v>
      </c>
      <c r="Q23" s="92">
        <v>763370.83333333337</v>
      </c>
      <c r="R23" s="92">
        <v>763370.83333333337</v>
      </c>
      <c r="S23" s="92">
        <v>763370.83333333337</v>
      </c>
      <c r="T23" s="94">
        <f t="shared" si="8"/>
        <v>5421565.8333274992</v>
      </c>
      <c r="U23" s="92"/>
      <c r="V23" s="92">
        <f t="shared" si="9"/>
        <v>5421565.8333274992</v>
      </c>
      <c r="W23" s="92"/>
      <c r="X23" s="92">
        <v>450000</v>
      </c>
      <c r="Y23" s="92">
        <v>450000</v>
      </c>
      <c r="Z23" s="95">
        <v>0</v>
      </c>
      <c r="AA23" s="92">
        <f t="shared" si="10"/>
        <v>6321565.8333274992</v>
      </c>
      <c r="AB23" s="92">
        <f t="shared" si="11"/>
        <v>6051184.1666725008</v>
      </c>
      <c r="AC23" s="92"/>
      <c r="AD23" s="92"/>
      <c r="AE23" s="92"/>
      <c r="AF23" s="92">
        <v>4900841</v>
      </c>
      <c r="AH23" s="22">
        <v>3053483.3333333335</v>
      </c>
      <c r="AJ23" s="43"/>
    </row>
    <row r="24" spans="1:38" ht="20" thickBot="1" x14ac:dyDescent="0.25">
      <c r="B24" s="91" t="s">
        <v>98</v>
      </c>
      <c r="C24" s="91" t="s">
        <v>43</v>
      </c>
      <c r="D24" s="92"/>
      <c r="E24" s="92">
        <v>5000000</v>
      </c>
      <c r="F24" s="93">
        <v>5000000</v>
      </c>
      <c r="G24" s="51"/>
      <c r="H24" s="51"/>
      <c r="I24" s="92">
        <v>0</v>
      </c>
      <c r="J24" s="92"/>
      <c r="K24" s="92">
        <v>0</v>
      </c>
      <c r="L24" s="92">
        <v>0</v>
      </c>
      <c r="M24" s="92"/>
      <c r="N24" s="92"/>
      <c r="O24" s="92"/>
      <c r="P24" s="92"/>
      <c r="Q24" s="92">
        <v>351000</v>
      </c>
      <c r="R24" s="92"/>
      <c r="S24" s="92"/>
      <c r="T24" s="94">
        <f t="shared" si="8"/>
        <v>351000</v>
      </c>
      <c r="U24" s="92"/>
      <c r="V24" s="92">
        <f t="shared" si="9"/>
        <v>351000</v>
      </c>
      <c r="W24" s="92"/>
      <c r="X24" s="92"/>
      <c r="Y24" s="92"/>
      <c r="Z24" s="92"/>
      <c r="AA24" s="92">
        <f t="shared" si="10"/>
        <v>351000</v>
      </c>
      <c r="AB24" s="92">
        <f t="shared" si="11"/>
        <v>4649000</v>
      </c>
      <c r="AC24" s="92"/>
      <c r="AD24" s="92"/>
      <c r="AE24" s="92"/>
      <c r="AF24" s="92">
        <v>5000000</v>
      </c>
      <c r="AH24" s="22">
        <v>0</v>
      </c>
      <c r="AJ24" s="43"/>
      <c r="AL24" s="44"/>
    </row>
    <row r="25" spans="1:38" ht="20" thickBot="1" x14ac:dyDescent="0.25">
      <c r="B25" s="91" t="s">
        <v>99</v>
      </c>
      <c r="C25" s="91" t="s">
        <v>44</v>
      </c>
      <c r="D25" s="92">
        <v>6273333</v>
      </c>
      <c r="E25" s="92">
        <v>12372750</v>
      </c>
      <c r="F25" s="93">
        <v>12372750</v>
      </c>
      <c r="G25" s="51"/>
      <c r="H25" s="51"/>
      <c r="I25" s="92"/>
      <c r="J25" s="92"/>
      <c r="K25" s="92"/>
      <c r="L25" s="92">
        <v>0</v>
      </c>
      <c r="M25" s="92"/>
      <c r="N25" s="92"/>
      <c r="O25" s="92"/>
      <c r="P25" s="92"/>
      <c r="Q25" s="92"/>
      <c r="R25" s="92"/>
      <c r="S25" s="92"/>
      <c r="T25" s="94">
        <f t="shared" si="8"/>
        <v>0</v>
      </c>
      <c r="U25" s="92"/>
      <c r="V25" s="92">
        <f t="shared" si="9"/>
        <v>0</v>
      </c>
      <c r="W25" s="92"/>
      <c r="X25" s="92"/>
      <c r="Y25" s="92"/>
      <c r="Z25" s="95">
        <v>6605403</v>
      </c>
      <c r="AA25" s="92">
        <f t="shared" si="10"/>
        <v>6605403</v>
      </c>
      <c r="AB25" s="92">
        <f t="shared" si="11"/>
        <v>5767347</v>
      </c>
      <c r="AC25" s="92"/>
      <c r="AD25" s="92"/>
      <c r="AE25" s="92"/>
      <c r="AF25" s="92">
        <v>9805000</v>
      </c>
      <c r="AH25" s="22"/>
    </row>
    <row r="26" spans="1:38" ht="20" thickBot="1" x14ac:dyDescent="0.3">
      <c r="B26" s="91" t="s">
        <v>100</v>
      </c>
      <c r="C26" s="96" t="s">
        <v>45</v>
      </c>
      <c r="D26" s="92"/>
      <c r="E26" s="92"/>
      <c r="F26" s="93"/>
      <c r="G26" s="51"/>
      <c r="H26" s="51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4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>
        <v>4902500</v>
      </c>
      <c r="AH26" s="40"/>
    </row>
    <row r="27" spans="1:38" ht="20" thickBot="1" x14ac:dyDescent="0.25">
      <c r="B27" s="97" t="s">
        <v>101</v>
      </c>
      <c r="C27" s="88" t="s">
        <v>46</v>
      </c>
      <c r="D27" s="89">
        <f>+D28</f>
        <v>310000000</v>
      </c>
      <c r="E27" s="89">
        <f t="shared" ref="E27:O27" si="12">+E28</f>
        <v>519550500</v>
      </c>
      <c r="F27" s="89">
        <f t="shared" si="12"/>
        <v>0</v>
      </c>
      <c r="G27" s="89">
        <f t="shared" si="12"/>
        <v>0</v>
      </c>
      <c r="H27" s="89">
        <f t="shared" si="12"/>
        <v>0</v>
      </c>
      <c r="I27" s="89">
        <f t="shared" si="12"/>
        <v>7300000</v>
      </c>
      <c r="J27" s="89">
        <f t="shared" si="12"/>
        <v>1500000</v>
      </c>
      <c r="K27" s="89">
        <f t="shared" si="12"/>
        <v>4300000</v>
      </c>
      <c r="L27" s="89">
        <f t="shared" si="12"/>
        <v>1500000</v>
      </c>
      <c r="M27" s="89">
        <f t="shared" si="12"/>
        <v>0</v>
      </c>
      <c r="N27" s="89">
        <f t="shared" si="12"/>
        <v>1300000</v>
      </c>
      <c r="O27" s="89">
        <f t="shared" si="12"/>
        <v>0</v>
      </c>
      <c r="P27" s="89">
        <f>+P28</f>
        <v>7597800</v>
      </c>
      <c r="Q27" s="89">
        <f t="shared" ref="Q27:U27" si="13">+Q28</f>
        <v>7597800</v>
      </c>
      <c r="R27" s="89">
        <f t="shared" si="13"/>
        <v>7597800</v>
      </c>
      <c r="S27" s="89">
        <f t="shared" si="13"/>
        <v>7597800</v>
      </c>
      <c r="T27" s="90">
        <f t="shared" si="13"/>
        <v>38991200</v>
      </c>
      <c r="U27" s="89">
        <f t="shared" si="13"/>
        <v>25971200</v>
      </c>
      <c r="V27" s="89">
        <f>+V28</f>
        <v>64962400</v>
      </c>
      <c r="W27" s="89">
        <f t="shared" ref="W27:AB27" si="14">+W28</f>
        <v>0</v>
      </c>
      <c r="X27" s="89">
        <f t="shared" si="14"/>
        <v>136358349</v>
      </c>
      <c r="Y27" s="89">
        <f t="shared" si="14"/>
        <v>181949249</v>
      </c>
      <c r="Z27" s="89">
        <f t="shared" si="14"/>
        <v>34837980</v>
      </c>
      <c r="AA27" s="89">
        <f t="shared" si="14"/>
        <v>418107978</v>
      </c>
      <c r="AB27" s="89">
        <f t="shared" si="14"/>
        <v>101442522</v>
      </c>
      <c r="AC27" s="89"/>
      <c r="AD27" s="89"/>
      <c r="AE27" s="89"/>
      <c r="AF27" s="89">
        <f t="shared" ref="AF27" si="15">+AF28</f>
        <v>658665793</v>
      </c>
      <c r="AH27" s="20">
        <f t="shared" ref="AH27" si="16">+AH28</f>
        <v>12960000</v>
      </c>
    </row>
    <row r="28" spans="1:38" ht="28.5" customHeight="1" thickBot="1" x14ac:dyDescent="0.25">
      <c r="B28" s="25" t="s">
        <v>102</v>
      </c>
      <c r="C28" s="25" t="s">
        <v>47</v>
      </c>
      <c r="D28" s="26">
        <f>SUM(D29:D31)</f>
        <v>310000000</v>
      </c>
      <c r="E28" s="26">
        <f t="shared" ref="E28:O28" si="17">SUM(E29:E31)</f>
        <v>519550500</v>
      </c>
      <c r="F28" s="26">
        <f t="shared" si="17"/>
        <v>0</v>
      </c>
      <c r="G28" s="26">
        <f t="shared" si="17"/>
        <v>0</v>
      </c>
      <c r="H28" s="26">
        <f t="shared" si="17"/>
        <v>0</v>
      </c>
      <c r="I28" s="26">
        <f t="shared" si="17"/>
        <v>7300000</v>
      </c>
      <c r="J28" s="26">
        <f t="shared" si="17"/>
        <v>1500000</v>
      </c>
      <c r="K28" s="26">
        <f t="shared" si="17"/>
        <v>4300000</v>
      </c>
      <c r="L28" s="26">
        <f t="shared" si="17"/>
        <v>1500000</v>
      </c>
      <c r="M28" s="26">
        <f t="shared" si="17"/>
        <v>0</v>
      </c>
      <c r="N28" s="26">
        <f t="shared" si="17"/>
        <v>1300000</v>
      </c>
      <c r="O28" s="26">
        <f t="shared" si="17"/>
        <v>0</v>
      </c>
      <c r="P28" s="26">
        <f>SUM(P29:P32)</f>
        <v>7597800</v>
      </c>
      <c r="Q28" s="26">
        <f t="shared" ref="Q28:U28" si="18">SUM(Q29:Q32)</f>
        <v>7597800</v>
      </c>
      <c r="R28" s="26">
        <f t="shared" si="18"/>
        <v>7597800</v>
      </c>
      <c r="S28" s="26">
        <f t="shared" si="18"/>
        <v>7597800</v>
      </c>
      <c r="T28" s="48">
        <f t="shared" si="18"/>
        <v>38991200</v>
      </c>
      <c r="U28" s="26">
        <f t="shared" si="18"/>
        <v>25971200</v>
      </c>
      <c r="V28" s="26">
        <f>SUM(V29:V31)</f>
        <v>64962400</v>
      </c>
      <c r="W28" s="26">
        <f t="shared" ref="W28" si="19">SUM(W29:W30)</f>
        <v>0</v>
      </c>
      <c r="X28" s="26">
        <f>SUM(X29:X30)</f>
        <v>136358349</v>
      </c>
      <c r="Y28" s="26">
        <f t="shared" ref="Y28" si="20">SUM(Y29:Y30)</f>
        <v>181949249</v>
      </c>
      <c r="Z28" s="26">
        <f>SUM(Z29:Z30)+Z31</f>
        <v>34837980</v>
      </c>
      <c r="AA28" s="26">
        <f>SUM(AA29:AA30)+AA31</f>
        <v>418107978</v>
      </c>
      <c r="AB28" s="26">
        <f>SUM(AB29:AB30)+AB31</f>
        <v>101442522</v>
      </c>
      <c r="AC28" s="26"/>
      <c r="AD28" s="26"/>
      <c r="AE28" s="26"/>
      <c r="AF28" s="26">
        <f>SUM(AF29:AF30)+AF31</f>
        <v>658665793</v>
      </c>
      <c r="AH28" s="24">
        <f t="shared" ref="AH28" si="21">SUM(AH29:AH30)</f>
        <v>12960000</v>
      </c>
    </row>
    <row r="29" spans="1:38" ht="40.5" customHeight="1" thickBot="1" x14ac:dyDescent="0.25">
      <c r="B29" s="98" t="s">
        <v>103</v>
      </c>
      <c r="C29" s="91" t="s">
        <v>48</v>
      </c>
      <c r="D29" s="92">
        <v>278000000</v>
      </c>
      <c r="E29" s="99">
        <v>469006500</v>
      </c>
      <c r="F29" s="51"/>
      <c r="G29" s="51"/>
      <c r="H29" s="51"/>
      <c r="I29" s="92">
        <v>4500000</v>
      </c>
      <c r="J29" s="92">
        <v>1500000</v>
      </c>
      <c r="K29" s="92">
        <v>1500000</v>
      </c>
      <c r="L29" s="92">
        <v>1500000</v>
      </c>
      <c r="M29" s="92"/>
      <c r="N29" s="92">
        <v>1300000</v>
      </c>
      <c r="O29" s="92"/>
      <c r="P29" s="92">
        <v>4357800</v>
      </c>
      <c r="Q29" s="92">
        <v>4357800</v>
      </c>
      <c r="R29" s="92">
        <v>4357800</v>
      </c>
      <c r="S29" s="92">
        <v>4357800</v>
      </c>
      <c r="T29" s="94">
        <f t="shared" ref="T29:T31" si="22">+S29+R29+Q29+P29+N29+L29+K29+J29</f>
        <v>23231200</v>
      </c>
      <c r="U29" s="92">
        <f>4357800+'[1]REGISTROS -SEPTIEMBRE 2016'!$F$208</f>
        <v>22731200</v>
      </c>
      <c r="V29" s="92">
        <f t="shared" ref="V29:V31" si="23">+T29+U29</f>
        <v>45962400</v>
      </c>
      <c r="W29" s="92"/>
      <c r="X29" s="92">
        <f>96480+4035000+129666869</f>
        <v>133798349</v>
      </c>
      <c r="Y29" s="95">
        <f>96480+4035000+129666869+18374400+24499200</f>
        <v>176671949</v>
      </c>
      <c r="Z29" s="92">
        <f>4035000+96480+25000000</f>
        <v>29131480</v>
      </c>
      <c r="AA29" s="92">
        <f t="shared" ref="AA29:AA30" si="24">+V29+X29+Y29+Z29</f>
        <v>385564178</v>
      </c>
      <c r="AB29" s="92">
        <f t="shared" ref="AB29:AB31" si="25">+E29-AA29</f>
        <v>83442322</v>
      </c>
      <c r="AC29" s="92"/>
      <c r="AD29" s="92"/>
      <c r="AE29" s="92"/>
      <c r="AF29" s="99">
        <v>585000000</v>
      </c>
      <c r="AG29" s="6"/>
      <c r="AH29" s="22"/>
      <c r="AI29" s="50" t="s">
        <v>49</v>
      </c>
    </row>
    <row r="30" spans="1:38" ht="40.5" customHeight="1" thickBot="1" x14ac:dyDescent="0.25">
      <c r="B30" s="98" t="s">
        <v>104</v>
      </c>
      <c r="C30" s="91" t="s">
        <v>50</v>
      </c>
      <c r="D30" s="92">
        <v>32000000</v>
      </c>
      <c r="E30" s="99">
        <v>50544000</v>
      </c>
      <c r="F30" s="51"/>
      <c r="G30" s="51"/>
      <c r="H30" s="51"/>
      <c r="I30" s="92">
        <v>2800000</v>
      </c>
      <c r="J30" s="92"/>
      <c r="K30" s="92">
        <v>2800000</v>
      </c>
      <c r="L30" s="92"/>
      <c r="M30" s="92"/>
      <c r="N30" s="92"/>
      <c r="O30" s="92"/>
      <c r="P30" s="92">
        <v>3240000</v>
      </c>
      <c r="Q30" s="92">
        <v>3240000</v>
      </c>
      <c r="R30" s="92">
        <v>3240000</v>
      </c>
      <c r="S30" s="92">
        <v>3240000</v>
      </c>
      <c r="T30" s="94">
        <f t="shared" si="22"/>
        <v>15760000</v>
      </c>
      <c r="U30" s="92">
        <v>3240000</v>
      </c>
      <c r="V30" s="92">
        <f t="shared" si="23"/>
        <v>19000000</v>
      </c>
      <c r="W30" s="92"/>
      <c r="X30" s="92">
        <f>2560000</f>
        <v>2560000</v>
      </c>
      <c r="Y30" s="95">
        <f>2560000+2717300</f>
        <v>5277300</v>
      </c>
      <c r="Z30" s="92">
        <f>2560000+2931900+214600</f>
        <v>5706500</v>
      </c>
      <c r="AA30" s="92">
        <f t="shared" si="24"/>
        <v>32543800</v>
      </c>
      <c r="AB30" s="92">
        <f t="shared" si="25"/>
        <v>18000200</v>
      </c>
      <c r="AC30" s="92"/>
      <c r="AD30" s="92"/>
      <c r="AE30" s="92"/>
      <c r="AF30" s="99">
        <f>24075000+38857050</f>
        <v>62932050</v>
      </c>
      <c r="AH30" s="22">
        <v>12960000</v>
      </c>
      <c r="AI30" s="50" t="s">
        <v>51</v>
      </c>
    </row>
    <row r="31" spans="1:38" ht="24.75" customHeight="1" x14ac:dyDescent="0.2">
      <c r="B31" s="100" t="s">
        <v>52</v>
      </c>
      <c r="C31" s="91" t="s">
        <v>53</v>
      </c>
      <c r="D31" s="92"/>
      <c r="E31" s="92"/>
      <c r="F31" s="51"/>
      <c r="G31" s="51"/>
      <c r="H31" s="51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4">
        <f t="shared" si="22"/>
        <v>0</v>
      </c>
      <c r="U31" s="92"/>
      <c r="V31" s="92">
        <f t="shared" si="23"/>
        <v>0</v>
      </c>
      <c r="W31" s="92"/>
      <c r="X31" s="92"/>
      <c r="Y31" s="95"/>
      <c r="Z31" s="92">
        <v>0</v>
      </c>
      <c r="AA31" s="92">
        <f>+V31+X31+Y31+Z31</f>
        <v>0</v>
      </c>
      <c r="AB31" s="92">
        <f t="shared" si="25"/>
        <v>0</v>
      </c>
      <c r="AC31" s="92"/>
      <c r="AD31" s="92"/>
      <c r="AE31" s="92"/>
      <c r="AF31" s="101">
        <f>5649200+1817150+3267393</f>
        <v>10733743</v>
      </c>
      <c r="AH31" s="113">
        <v>73493600</v>
      </c>
    </row>
    <row r="32" spans="1:38" ht="19" x14ac:dyDescent="0.2">
      <c r="A32" s="114"/>
      <c r="B32" s="115"/>
      <c r="C32" s="116"/>
      <c r="D32" s="117"/>
      <c r="E32" s="117"/>
      <c r="F32" s="114"/>
      <c r="G32" s="114"/>
      <c r="H32" s="114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8"/>
      <c r="U32" s="117"/>
      <c r="V32" s="117"/>
      <c r="W32" s="117"/>
      <c r="X32" s="117"/>
      <c r="Y32" s="117"/>
      <c r="Z32" s="117"/>
      <c r="AA32" s="117"/>
      <c r="AB32" s="117">
        <f>+E32-V32</f>
        <v>0</v>
      </c>
      <c r="AC32" s="117"/>
      <c r="AD32" s="117"/>
      <c r="AE32" s="117"/>
      <c r="AF32" s="117"/>
      <c r="AG32" s="114"/>
      <c r="AH32" s="117"/>
      <c r="AI32" s="114"/>
      <c r="AJ32" s="114"/>
    </row>
    <row r="33" spans="2:34" ht="20" thickBot="1" x14ac:dyDescent="0.25">
      <c r="B33" s="97" t="s">
        <v>105</v>
      </c>
      <c r="C33" s="88" t="s">
        <v>54</v>
      </c>
      <c r="D33" s="89">
        <f>+D34+D39</f>
        <v>32700000</v>
      </c>
      <c r="E33" s="89">
        <f t="shared" ref="E33:AB33" si="26">+E34+E39</f>
        <v>61896414.060000002</v>
      </c>
      <c r="F33" s="89">
        <f t="shared" si="26"/>
        <v>61896414.060000002</v>
      </c>
      <c r="G33" s="89">
        <f t="shared" si="26"/>
        <v>246851289.06</v>
      </c>
      <c r="H33" s="89">
        <f t="shared" si="26"/>
        <v>0</v>
      </c>
      <c r="I33" s="89">
        <f t="shared" si="26"/>
        <v>8212120</v>
      </c>
      <c r="J33" s="89">
        <f t="shared" si="26"/>
        <v>2737373.3333333335</v>
      </c>
      <c r="K33" s="89">
        <f t="shared" si="26"/>
        <v>2737373.3333333335</v>
      </c>
      <c r="L33" s="89">
        <f t="shared" si="26"/>
        <v>2737373.3333333335</v>
      </c>
      <c r="M33" s="89">
        <f t="shared" si="26"/>
        <v>0</v>
      </c>
      <c r="N33" s="89">
        <f t="shared" si="26"/>
        <v>2876931.1077875011</v>
      </c>
      <c r="O33" s="89">
        <f t="shared" si="26"/>
        <v>0</v>
      </c>
      <c r="P33" s="89">
        <f>+P34+P39</f>
        <v>3582106.958333334</v>
      </c>
      <c r="Q33" s="89">
        <f t="shared" ref="Q33:U33" si="27">+Q34+Q39</f>
        <v>3582106.958333334</v>
      </c>
      <c r="R33" s="89">
        <f t="shared" si="27"/>
        <v>3582102.0083333338</v>
      </c>
      <c r="S33" s="89">
        <f t="shared" si="27"/>
        <v>3582102.0083333338</v>
      </c>
      <c r="T33" s="90">
        <f t="shared" si="27"/>
        <v>25417469.041120835</v>
      </c>
      <c r="U33" s="89">
        <f t="shared" si="27"/>
        <v>3582284.0073333341</v>
      </c>
      <c r="V33" s="89">
        <f>+V34+V39</f>
        <v>28999753.048454165</v>
      </c>
      <c r="W33" s="89">
        <f t="shared" si="26"/>
        <v>0</v>
      </c>
      <c r="X33" s="89">
        <f t="shared" si="26"/>
        <v>2818913.1740000006</v>
      </c>
      <c r="Y33" s="89">
        <f t="shared" si="26"/>
        <v>2818913.1740000006</v>
      </c>
      <c r="Z33" s="89">
        <f t="shared" si="26"/>
        <v>2926150.1740000006</v>
      </c>
      <c r="AA33" s="89">
        <f t="shared" si="26"/>
        <v>37563729.570454173</v>
      </c>
      <c r="AB33" s="89">
        <f t="shared" si="26"/>
        <v>24332684.48954583</v>
      </c>
      <c r="AC33" s="89"/>
      <c r="AD33" s="89"/>
      <c r="AE33" s="89"/>
      <c r="AF33" s="89">
        <f t="shared" ref="AF33" si="28">+AF34+AF39</f>
        <v>46211008</v>
      </c>
      <c r="AH33" s="23">
        <f>+AH34+AH39</f>
        <v>14329136.029333336</v>
      </c>
    </row>
    <row r="34" spans="2:34" ht="20" thickBot="1" x14ac:dyDescent="0.25">
      <c r="B34" s="25" t="s">
        <v>106</v>
      </c>
      <c r="C34" s="25" t="s">
        <v>55</v>
      </c>
      <c r="D34" s="26">
        <f>SUM(D35:D36)</f>
        <v>3300000</v>
      </c>
      <c r="E34" s="26">
        <f t="shared" ref="E34:AB34" si="29">SUM(E35:E36)</f>
        <v>9945655</v>
      </c>
      <c r="F34" s="26">
        <f t="shared" si="29"/>
        <v>10145655</v>
      </c>
      <c r="G34" s="26">
        <f t="shared" si="29"/>
        <v>0</v>
      </c>
      <c r="H34" s="26">
        <f t="shared" si="29"/>
        <v>0</v>
      </c>
      <c r="I34" s="26">
        <f t="shared" si="29"/>
        <v>1050000</v>
      </c>
      <c r="J34" s="26">
        <f t="shared" si="29"/>
        <v>350000</v>
      </c>
      <c r="K34" s="26">
        <f t="shared" si="29"/>
        <v>350000</v>
      </c>
      <c r="L34" s="26">
        <f t="shared" si="29"/>
        <v>350000</v>
      </c>
      <c r="M34" s="26">
        <f t="shared" si="29"/>
        <v>0</v>
      </c>
      <c r="N34" s="26">
        <f t="shared" si="29"/>
        <v>370849.49999649997</v>
      </c>
      <c r="O34" s="26">
        <f t="shared" si="29"/>
        <v>0</v>
      </c>
      <c r="P34" s="26">
        <f>SUM(P35:P36)</f>
        <v>458022.50000000012</v>
      </c>
      <c r="Q34" s="26">
        <f t="shared" ref="Q34:U34" si="30">SUM(Q35:Q36)</f>
        <v>458022.50000000012</v>
      </c>
      <c r="R34" s="26">
        <f t="shared" si="30"/>
        <v>458000</v>
      </c>
      <c r="S34" s="26">
        <f t="shared" si="30"/>
        <v>458000</v>
      </c>
      <c r="T34" s="48">
        <f t="shared" si="30"/>
        <v>3252894.4999965001</v>
      </c>
      <c r="U34" s="26">
        <f t="shared" si="30"/>
        <v>458000</v>
      </c>
      <c r="V34" s="26">
        <f>SUM(V35:V36)</f>
        <v>3710894.4999965001</v>
      </c>
      <c r="W34" s="26">
        <f t="shared" si="29"/>
        <v>0</v>
      </c>
      <c r="X34" s="26">
        <f t="shared" si="29"/>
        <v>458000</v>
      </c>
      <c r="Y34" s="26">
        <f t="shared" si="29"/>
        <v>458000</v>
      </c>
      <c r="Z34" s="26">
        <f t="shared" si="29"/>
        <v>458000</v>
      </c>
      <c r="AA34" s="26">
        <f t="shared" si="29"/>
        <v>5084894.4999965001</v>
      </c>
      <c r="AB34" s="26">
        <f t="shared" si="29"/>
        <v>4860760.5000034999</v>
      </c>
      <c r="AC34" s="26"/>
      <c r="AD34" s="26"/>
      <c r="AE34" s="26"/>
      <c r="AF34" s="26">
        <f t="shared" ref="AF34" si="31">SUM(AF35:AF36)</f>
        <v>5881009</v>
      </c>
      <c r="AH34" s="24">
        <f>SUM(AH35:AH36)</f>
        <v>1832000</v>
      </c>
    </row>
    <row r="35" spans="2:34" ht="20" thickBot="1" x14ac:dyDescent="0.25">
      <c r="B35" s="25" t="s">
        <v>107</v>
      </c>
      <c r="C35" s="91" t="s">
        <v>56</v>
      </c>
      <c r="D35" s="92">
        <v>1300000</v>
      </c>
      <c r="E35" s="92">
        <v>5691465</v>
      </c>
      <c r="F35" s="93">
        <v>5691465</v>
      </c>
      <c r="G35" s="51"/>
      <c r="H35" s="51"/>
      <c r="I35" s="92">
        <v>420000</v>
      </c>
      <c r="J35" s="92">
        <v>140000</v>
      </c>
      <c r="K35" s="92">
        <v>140000</v>
      </c>
      <c r="L35" s="92">
        <v>140000</v>
      </c>
      <c r="M35" s="92"/>
      <c r="N35" s="92">
        <f>N19*2%</f>
        <v>148339.79999860001</v>
      </c>
      <c r="O35" s="92"/>
      <c r="P35" s="92">
        <v>183209.00000000003</v>
      </c>
      <c r="Q35" s="92">
        <v>183209.00000000003</v>
      </c>
      <c r="R35" s="92">
        <v>183200</v>
      </c>
      <c r="S35" s="92">
        <v>183200</v>
      </c>
      <c r="T35" s="94">
        <f t="shared" ref="T35:T36" si="32">+S35+R35+Q35+P35+N35+L35+K35+J35</f>
        <v>1301157.7999986</v>
      </c>
      <c r="U35" s="92">
        <v>183200</v>
      </c>
      <c r="V35" s="92">
        <f t="shared" ref="V35:V36" si="33">+T35+U35</f>
        <v>1484357.7999986</v>
      </c>
      <c r="W35" s="92"/>
      <c r="X35" s="92">
        <v>183200</v>
      </c>
      <c r="Y35" s="92">
        <v>183200</v>
      </c>
      <c r="Z35" s="95">
        <v>183200</v>
      </c>
      <c r="AA35" s="92">
        <f t="shared" ref="AA35:AA36" si="34">+V35+X35+Y35+Z35</f>
        <v>2033957.7999986</v>
      </c>
      <c r="AB35" s="92">
        <f t="shared" ref="AB35:AB36" si="35">+E35-AA35</f>
        <v>3657507.2000014</v>
      </c>
      <c r="AC35" s="92"/>
      <c r="AD35" s="92"/>
      <c r="AE35" s="92"/>
      <c r="AF35" s="99">
        <v>2352404</v>
      </c>
      <c r="AH35" s="22">
        <v>732800</v>
      </c>
    </row>
    <row r="36" spans="2:34" ht="17.25" customHeight="1" thickBot="1" x14ac:dyDescent="0.25">
      <c r="B36" s="25" t="s">
        <v>108</v>
      </c>
      <c r="C36" s="91" t="s">
        <v>57</v>
      </c>
      <c r="D36" s="92">
        <v>2000000</v>
      </c>
      <c r="E36" s="92">
        <v>4254190</v>
      </c>
      <c r="F36" s="93">
        <v>4454190</v>
      </c>
      <c r="G36" s="51"/>
      <c r="H36" s="51"/>
      <c r="I36" s="92">
        <v>630000</v>
      </c>
      <c r="J36" s="92">
        <v>210000</v>
      </c>
      <c r="K36" s="92">
        <v>210000</v>
      </c>
      <c r="L36" s="92">
        <v>210000</v>
      </c>
      <c r="M36" s="92"/>
      <c r="N36" s="92">
        <f>N19*0.03</f>
        <v>222509.6999979</v>
      </c>
      <c r="O36" s="92"/>
      <c r="P36" s="92">
        <v>274813.50000000006</v>
      </c>
      <c r="Q36" s="92">
        <v>274813.50000000006</v>
      </c>
      <c r="R36" s="92">
        <v>274800</v>
      </c>
      <c r="S36" s="92">
        <v>274800</v>
      </c>
      <c r="T36" s="94">
        <f t="shared" si="32"/>
        <v>1951736.6999979001</v>
      </c>
      <c r="U36" s="92">
        <v>274800</v>
      </c>
      <c r="V36" s="92">
        <f t="shared" si="33"/>
        <v>2226536.6999979001</v>
      </c>
      <c r="W36" s="92"/>
      <c r="X36" s="92">
        <v>274800</v>
      </c>
      <c r="Y36" s="92">
        <v>274800</v>
      </c>
      <c r="Z36" s="95">
        <v>274800</v>
      </c>
      <c r="AA36" s="92">
        <f t="shared" si="34"/>
        <v>3050936.6999979001</v>
      </c>
      <c r="AB36" s="92">
        <f t="shared" si="35"/>
        <v>1203253.3000020999</v>
      </c>
      <c r="AC36" s="92"/>
      <c r="AD36" s="92"/>
      <c r="AE36" s="92"/>
      <c r="AF36" s="99">
        <v>3528605</v>
      </c>
      <c r="AH36" s="22">
        <v>1099200</v>
      </c>
    </row>
    <row r="37" spans="2:34" ht="19" hidden="1" x14ac:dyDescent="0.25">
      <c r="B37" s="119"/>
      <c r="C37" s="112"/>
      <c r="D37" s="120"/>
      <c r="E37" s="120"/>
      <c r="F37" s="112"/>
      <c r="G37" s="112"/>
      <c r="H37" s="112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1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H37" s="40"/>
    </row>
    <row r="38" spans="2:34" s="114" customFormat="1" ht="19" x14ac:dyDescent="0.25">
      <c r="B38" s="29"/>
      <c r="D38" s="15"/>
      <c r="E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47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H38" s="15"/>
    </row>
    <row r="39" spans="2:34" ht="19" x14ac:dyDescent="0.2">
      <c r="B39" s="25" t="s">
        <v>109</v>
      </c>
      <c r="C39" s="25" t="s">
        <v>58</v>
      </c>
      <c r="D39" s="26">
        <f>SUM(D40:D45)</f>
        <v>29400000</v>
      </c>
      <c r="E39" s="26">
        <f t="shared" ref="E39:O39" si="36">SUM(E40:E45)</f>
        <v>51950759.060000002</v>
      </c>
      <c r="F39" s="26">
        <f t="shared" si="36"/>
        <v>51750759.060000002</v>
      </c>
      <c r="G39" s="26">
        <f t="shared" si="36"/>
        <v>246851289.06</v>
      </c>
      <c r="H39" s="26">
        <f t="shared" si="36"/>
        <v>0</v>
      </c>
      <c r="I39" s="26">
        <f t="shared" si="36"/>
        <v>7162120</v>
      </c>
      <c r="J39" s="26">
        <f t="shared" si="36"/>
        <v>2387373.3333333335</v>
      </c>
      <c r="K39" s="26">
        <f t="shared" si="36"/>
        <v>2387373.3333333335</v>
      </c>
      <c r="L39" s="26">
        <f t="shared" si="36"/>
        <v>2387373.3333333335</v>
      </c>
      <c r="M39" s="26">
        <f t="shared" si="36"/>
        <v>0</v>
      </c>
      <c r="N39" s="26">
        <f t="shared" si="36"/>
        <v>2506081.607791001</v>
      </c>
      <c r="O39" s="26">
        <f t="shared" si="36"/>
        <v>0</v>
      </c>
      <c r="P39" s="26">
        <f>SUM(P40:P45)</f>
        <v>3124084.458333334</v>
      </c>
      <c r="Q39" s="26">
        <f t="shared" ref="Q39:U39" si="37">SUM(Q40:Q45)</f>
        <v>3124084.458333334</v>
      </c>
      <c r="R39" s="26">
        <f t="shared" si="37"/>
        <v>3124102.0083333338</v>
      </c>
      <c r="S39" s="26">
        <f t="shared" si="37"/>
        <v>3124102.0083333338</v>
      </c>
      <c r="T39" s="48">
        <f t="shared" si="37"/>
        <v>22164574.541124336</v>
      </c>
      <c r="U39" s="26">
        <f t="shared" si="37"/>
        <v>3124284.0073333341</v>
      </c>
      <c r="V39" s="26">
        <f>SUM(V40:V46)</f>
        <v>25288858.548457667</v>
      </c>
      <c r="W39" s="26">
        <f t="shared" ref="W39:AB39" si="38">SUM(W40:W45)</f>
        <v>0</v>
      </c>
      <c r="X39" s="26">
        <f t="shared" si="38"/>
        <v>2360913.1740000006</v>
      </c>
      <c r="Y39" s="26">
        <f t="shared" si="38"/>
        <v>2360913.1740000006</v>
      </c>
      <c r="Z39" s="26">
        <f t="shared" si="38"/>
        <v>2468150.1740000006</v>
      </c>
      <c r="AA39" s="26">
        <f t="shared" si="38"/>
        <v>32478835.070457675</v>
      </c>
      <c r="AB39" s="26">
        <f t="shared" si="38"/>
        <v>19471923.989542328</v>
      </c>
      <c r="AC39" s="26"/>
      <c r="AD39" s="26"/>
      <c r="AE39" s="26"/>
      <c r="AF39" s="26">
        <f t="shared" ref="AF39" si="39">SUM(AF40:AF45)</f>
        <v>40329999</v>
      </c>
      <c r="AH39" s="122">
        <f t="shared" ref="AH39" si="40">SUM(AH40:AH45)</f>
        <v>12497136.029333336</v>
      </c>
    </row>
    <row r="40" spans="2:34" ht="20" thickBot="1" x14ac:dyDescent="0.25">
      <c r="B40" s="25" t="s">
        <v>110</v>
      </c>
      <c r="C40" s="91" t="s">
        <v>59</v>
      </c>
      <c r="D40" s="92">
        <v>7000000</v>
      </c>
      <c r="E40" s="92">
        <v>12372750</v>
      </c>
      <c r="F40" s="93">
        <v>12372750</v>
      </c>
      <c r="G40" s="51"/>
      <c r="H40" s="51"/>
      <c r="I40" s="92">
        <v>1750000</v>
      </c>
      <c r="J40" s="92">
        <v>583333.33333333337</v>
      </c>
      <c r="K40" s="92">
        <v>583333.33333333337</v>
      </c>
      <c r="L40" s="92">
        <v>583333.33333333337</v>
      </c>
      <c r="M40" s="92"/>
      <c r="N40" s="92">
        <f>N19/12</f>
        <v>618082.49999416666</v>
      </c>
      <c r="O40" s="92"/>
      <c r="P40" s="92">
        <v>763370.83333333337</v>
      </c>
      <c r="Q40" s="92">
        <v>763370.83333333337</v>
      </c>
      <c r="R40" s="92">
        <v>763370.83333333337</v>
      </c>
      <c r="S40" s="92">
        <v>763370.83333333337</v>
      </c>
      <c r="T40" s="94">
        <f t="shared" ref="T40:T45" si="41">+S40+R40+Q40+P40+N40+L40+K40+J40</f>
        <v>5421565.8333274992</v>
      </c>
      <c r="U40" s="92">
        <v>763370.83333333337</v>
      </c>
      <c r="V40" s="92">
        <f t="shared" ref="V40:V45" si="42">+T40+U40</f>
        <v>6184936.6666608322</v>
      </c>
      <c r="W40" s="92"/>
      <c r="X40" s="92"/>
      <c r="Y40" s="92"/>
      <c r="Z40" s="95">
        <v>107237</v>
      </c>
      <c r="AA40" s="92">
        <f t="shared" ref="AA40:AA45" si="43">+V40+X40+Y40+Z40</f>
        <v>6292173.6666608322</v>
      </c>
      <c r="AB40" s="92">
        <f t="shared" ref="AB40:AB45" si="44">+E40-AA40</f>
        <v>6080576.3333391678</v>
      </c>
      <c r="AC40" s="92"/>
      <c r="AD40" s="92"/>
      <c r="AE40" s="92"/>
      <c r="AF40" s="99">
        <v>9801682</v>
      </c>
      <c r="AH40" s="22">
        <v>3053483.3333333335</v>
      </c>
    </row>
    <row r="41" spans="2:34" ht="20" thickBot="1" x14ac:dyDescent="0.25">
      <c r="B41" s="25" t="s">
        <v>111</v>
      </c>
      <c r="C41" s="91" t="s">
        <v>60</v>
      </c>
      <c r="D41" s="92"/>
      <c r="E41" s="92">
        <v>1484730</v>
      </c>
      <c r="F41" s="93">
        <v>1484730</v>
      </c>
      <c r="G41" s="51"/>
      <c r="H41" s="51"/>
      <c r="I41" s="92">
        <v>157500</v>
      </c>
      <c r="J41" s="92">
        <v>52500</v>
      </c>
      <c r="K41" s="92">
        <v>52500</v>
      </c>
      <c r="L41" s="92">
        <v>52500</v>
      </c>
      <c r="M41" s="92"/>
      <c r="N41" s="92">
        <v>32120</v>
      </c>
      <c r="O41" s="92"/>
      <c r="P41" s="92">
        <v>68703.375</v>
      </c>
      <c r="Q41" s="92">
        <v>68703.375</v>
      </c>
      <c r="R41" s="92">
        <v>68703.375</v>
      </c>
      <c r="S41" s="92">
        <v>68703.375</v>
      </c>
      <c r="T41" s="94">
        <f t="shared" si="41"/>
        <v>464433.5</v>
      </c>
      <c r="U41" s="92">
        <v>68703.375</v>
      </c>
      <c r="V41" s="92">
        <f t="shared" si="42"/>
        <v>533136.875</v>
      </c>
      <c r="W41" s="92"/>
      <c r="X41" s="92">
        <v>68703.375</v>
      </c>
      <c r="Y41" s="92">
        <v>68703.375</v>
      </c>
      <c r="Z41" s="95">
        <v>68703.375</v>
      </c>
      <c r="AA41" s="92">
        <f t="shared" si="43"/>
        <v>739247</v>
      </c>
      <c r="AB41" s="92">
        <f t="shared" si="44"/>
        <v>745483</v>
      </c>
      <c r="AC41" s="92"/>
      <c r="AD41" s="92"/>
      <c r="AE41" s="92"/>
      <c r="AF41" s="99">
        <v>1176202</v>
      </c>
      <c r="AH41" s="22">
        <v>274813.5</v>
      </c>
    </row>
    <row r="42" spans="2:34" ht="20" thickBot="1" x14ac:dyDescent="0.25">
      <c r="B42" s="25" t="s">
        <v>112</v>
      </c>
      <c r="C42" s="91" t="s">
        <v>61</v>
      </c>
      <c r="D42" s="92">
        <v>11000000</v>
      </c>
      <c r="E42" s="92">
        <v>18559125</v>
      </c>
      <c r="F42" s="93">
        <v>18559125</v>
      </c>
      <c r="G42" s="51"/>
      <c r="H42" s="51"/>
      <c r="I42" s="92">
        <v>2520000</v>
      </c>
      <c r="J42" s="92">
        <v>840000</v>
      </c>
      <c r="K42" s="92">
        <v>840000</v>
      </c>
      <c r="L42" s="92">
        <v>840000</v>
      </c>
      <c r="M42" s="92"/>
      <c r="N42" s="92">
        <f>196000+694039</f>
        <v>890039</v>
      </c>
      <c r="O42" s="92"/>
      <c r="P42" s="92">
        <v>1099254.0000000002</v>
      </c>
      <c r="Q42" s="92">
        <v>1099254.0000000002</v>
      </c>
      <c r="R42" s="92">
        <v>1099254.0000000002</v>
      </c>
      <c r="S42" s="92">
        <v>1099254.0000000002</v>
      </c>
      <c r="T42" s="94">
        <f t="shared" si="41"/>
        <v>7807055.0000000009</v>
      </c>
      <c r="U42" s="92">
        <v>1099254.0000000002</v>
      </c>
      <c r="V42" s="92">
        <f t="shared" si="42"/>
        <v>8906309.0000000019</v>
      </c>
      <c r="W42" s="92"/>
      <c r="X42" s="92">
        <v>1099254.0000000002</v>
      </c>
      <c r="Y42" s="92">
        <v>1099254.0000000002</v>
      </c>
      <c r="Z42" s="95">
        <v>1099254.0000000002</v>
      </c>
      <c r="AA42" s="92">
        <f t="shared" si="43"/>
        <v>12204071.000000002</v>
      </c>
      <c r="AB42" s="92">
        <f t="shared" si="44"/>
        <v>6355053.9999999981</v>
      </c>
      <c r="AC42" s="92"/>
      <c r="AD42" s="92"/>
      <c r="AE42" s="92"/>
      <c r="AF42" s="99">
        <v>14114421</v>
      </c>
      <c r="AH42" s="22">
        <v>4397016.0000000009</v>
      </c>
    </row>
    <row r="43" spans="2:34" ht="20" thickBot="1" x14ac:dyDescent="0.25">
      <c r="B43" s="25" t="s">
        <v>113</v>
      </c>
      <c r="C43" s="91" t="s">
        <v>62</v>
      </c>
      <c r="D43" s="92">
        <v>8500000</v>
      </c>
      <c r="E43" s="92">
        <v>12620205</v>
      </c>
      <c r="F43" s="93">
        <v>12620205</v>
      </c>
      <c r="G43" s="51"/>
      <c r="H43" s="51"/>
      <c r="I43" s="92">
        <v>1785000</v>
      </c>
      <c r="J43" s="92">
        <v>595000</v>
      </c>
      <c r="K43" s="92">
        <v>595000</v>
      </c>
      <c r="L43" s="92">
        <v>595000</v>
      </c>
      <c r="M43" s="92"/>
      <c r="N43" s="92">
        <f>491610.82+138833</f>
        <v>630443.82000000007</v>
      </c>
      <c r="O43" s="92"/>
      <c r="P43" s="92">
        <v>778638.25000000023</v>
      </c>
      <c r="Q43" s="92">
        <v>778638.25000000023</v>
      </c>
      <c r="R43" s="92">
        <v>778638.25000000023</v>
      </c>
      <c r="S43" s="92">
        <v>778638.25000000023</v>
      </c>
      <c r="T43" s="94">
        <f t="shared" si="41"/>
        <v>5529996.8200000012</v>
      </c>
      <c r="U43" s="92">
        <v>778638.25000000023</v>
      </c>
      <c r="V43" s="92">
        <f t="shared" si="42"/>
        <v>6308635.0700000012</v>
      </c>
      <c r="W43" s="92"/>
      <c r="X43" s="92">
        <v>778638.25000000023</v>
      </c>
      <c r="Y43" s="92">
        <v>778638.25000000023</v>
      </c>
      <c r="Z43" s="95">
        <v>778638.25000000023</v>
      </c>
      <c r="AA43" s="92">
        <f t="shared" si="43"/>
        <v>8644549.8200000022</v>
      </c>
      <c r="AB43" s="92">
        <f t="shared" si="44"/>
        <v>3975655.1799999978</v>
      </c>
      <c r="AC43" s="92"/>
      <c r="AD43" s="92"/>
      <c r="AE43" s="92"/>
      <c r="AF43" s="99">
        <v>9997715</v>
      </c>
      <c r="AH43" s="22">
        <v>3114553.0000000009</v>
      </c>
    </row>
    <row r="44" spans="2:34" ht="20" thickBot="1" x14ac:dyDescent="0.25">
      <c r="B44" s="25" t="s">
        <v>114</v>
      </c>
      <c r="C44" s="91" t="s">
        <v>63</v>
      </c>
      <c r="D44" s="92">
        <v>400000</v>
      </c>
      <c r="E44" s="92">
        <v>775029.05999999994</v>
      </c>
      <c r="F44" s="93">
        <v>775029.05999999994</v>
      </c>
      <c r="G44" s="51"/>
      <c r="H44" s="51"/>
      <c r="I44" s="92">
        <v>109620</v>
      </c>
      <c r="J44" s="92">
        <v>36540</v>
      </c>
      <c r="K44" s="92">
        <v>36540</v>
      </c>
      <c r="L44" s="92">
        <v>36540</v>
      </c>
      <c r="M44" s="92"/>
      <c r="N44" s="92">
        <f>N19*0.522%</f>
        <v>38716.687799634601</v>
      </c>
      <c r="O44" s="92"/>
      <c r="P44" s="92">
        <v>47800</v>
      </c>
      <c r="Q44" s="92">
        <v>47800</v>
      </c>
      <c r="R44" s="92">
        <v>47817.55</v>
      </c>
      <c r="S44" s="92">
        <v>47817.55</v>
      </c>
      <c r="T44" s="94">
        <f t="shared" si="41"/>
        <v>339571.78779963462</v>
      </c>
      <c r="U44" s="92">
        <v>47817.549000000006</v>
      </c>
      <c r="V44" s="92">
        <f t="shared" si="42"/>
        <v>387389.33679963462</v>
      </c>
      <c r="W44" s="92"/>
      <c r="X44" s="92">
        <v>47817.549000000006</v>
      </c>
      <c r="Y44" s="92">
        <v>47817.549000000006</v>
      </c>
      <c r="Z44" s="95">
        <v>47817.549000000006</v>
      </c>
      <c r="AA44" s="92">
        <f t="shared" si="43"/>
        <v>530841.98379963462</v>
      </c>
      <c r="AB44" s="92">
        <f t="shared" si="44"/>
        <v>244187.07620036532</v>
      </c>
      <c r="AC44" s="92"/>
      <c r="AD44" s="92"/>
      <c r="AE44" s="92"/>
      <c r="AF44" s="99">
        <v>535172</v>
      </c>
      <c r="AH44" s="22">
        <v>191270.19600000003</v>
      </c>
    </row>
    <row r="45" spans="2:34" ht="20" thickBot="1" x14ac:dyDescent="0.25">
      <c r="B45" s="25" t="s">
        <v>115</v>
      </c>
      <c r="C45" s="102" t="s">
        <v>64</v>
      </c>
      <c r="D45" s="103">
        <v>2500000</v>
      </c>
      <c r="E45" s="103">
        <v>6138920</v>
      </c>
      <c r="F45" s="93">
        <v>5938920</v>
      </c>
      <c r="G45" s="93">
        <v>246851289.06</v>
      </c>
      <c r="H45" s="51"/>
      <c r="I45" s="92">
        <v>840000</v>
      </c>
      <c r="J45" s="103">
        <v>280000</v>
      </c>
      <c r="K45" s="92">
        <v>280000</v>
      </c>
      <c r="L45" s="92">
        <v>280000</v>
      </c>
      <c r="M45" s="92"/>
      <c r="N45" s="92">
        <f>N19*0.04</f>
        <v>296679.59999720001</v>
      </c>
      <c r="O45" s="92"/>
      <c r="P45" s="92">
        <v>366318.00000000006</v>
      </c>
      <c r="Q45" s="92">
        <v>366318.00000000006</v>
      </c>
      <c r="R45" s="92">
        <v>366318.00000000006</v>
      </c>
      <c r="S45" s="92">
        <v>366318.00000000006</v>
      </c>
      <c r="T45" s="94">
        <f t="shared" si="41"/>
        <v>2601951.5999972001</v>
      </c>
      <c r="U45" s="92">
        <v>366500</v>
      </c>
      <c r="V45" s="92">
        <f t="shared" si="42"/>
        <v>2968451.5999972001</v>
      </c>
      <c r="W45" s="92"/>
      <c r="X45" s="92">
        <v>366500</v>
      </c>
      <c r="Y45" s="92">
        <v>366500</v>
      </c>
      <c r="Z45" s="95">
        <v>366500</v>
      </c>
      <c r="AA45" s="92">
        <f t="shared" si="43"/>
        <v>4067951.5999972001</v>
      </c>
      <c r="AB45" s="92">
        <f t="shared" si="44"/>
        <v>2070968.4000027999</v>
      </c>
      <c r="AC45" s="92"/>
      <c r="AD45" s="92"/>
      <c r="AE45" s="92"/>
      <c r="AF45" s="99">
        <v>4704807</v>
      </c>
      <c r="AH45" s="22">
        <v>1466000</v>
      </c>
    </row>
    <row r="46" spans="2:34" ht="20" thickBot="1" x14ac:dyDescent="0.25">
      <c r="B46" s="104"/>
      <c r="C46" s="91"/>
      <c r="D46" s="92"/>
      <c r="E46" s="92"/>
      <c r="F46" s="51"/>
      <c r="G46" s="51"/>
      <c r="H46" s="51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4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H46" s="22"/>
    </row>
    <row r="47" spans="2:34" ht="20" thickBot="1" x14ac:dyDescent="0.25">
      <c r="B47" s="84" t="s">
        <v>116</v>
      </c>
      <c r="C47" s="85" t="s">
        <v>65</v>
      </c>
      <c r="D47" s="86">
        <v>73526667</v>
      </c>
      <c r="E47" s="86">
        <v>177923080</v>
      </c>
      <c r="F47" s="51"/>
      <c r="G47" s="51"/>
      <c r="H47" s="51"/>
      <c r="I47" s="86">
        <v>8708527</v>
      </c>
      <c r="J47" s="86">
        <f>+J48+J51+J66</f>
        <v>2648045.21</v>
      </c>
      <c r="K47" s="86">
        <v>3886696</v>
      </c>
      <c r="L47" s="86">
        <f t="shared" ref="L47:M47" si="45">+L48+L51+L66</f>
        <v>2626831</v>
      </c>
      <c r="M47" s="86">
        <f t="shared" si="45"/>
        <v>0</v>
      </c>
      <c r="N47" s="86">
        <f>+N48+N51+N66</f>
        <v>4095359</v>
      </c>
      <c r="O47" s="86"/>
      <c r="P47" s="86">
        <f>+P48+P51+P66</f>
        <v>2870461.35</v>
      </c>
      <c r="Q47" s="86">
        <f t="shared" ref="Q47:U47" si="46">+Q48+Q51+Q66</f>
        <v>2716685</v>
      </c>
      <c r="R47" s="86">
        <f t="shared" si="46"/>
        <v>3747253</v>
      </c>
      <c r="S47" s="86">
        <f t="shared" si="46"/>
        <v>2699322</v>
      </c>
      <c r="T47" s="87">
        <f t="shared" si="46"/>
        <v>25290652.559999999</v>
      </c>
      <c r="U47" s="86">
        <f t="shared" si="46"/>
        <v>2996621</v>
      </c>
      <c r="V47" s="86">
        <f>+V51+V48+V66</f>
        <v>28287273.559999999</v>
      </c>
      <c r="W47" s="86"/>
      <c r="X47" s="86">
        <f t="shared" ref="X47:AB47" si="47">+X48+X51+X66</f>
        <v>4214659</v>
      </c>
      <c r="Y47" s="86">
        <f t="shared" si="47"/>
        <v>3495888</v>
      </c>
      <c r="Z47" s="86">
        <f t="shared" si="47"/>
        <v>5526414</v>
      </c>
      <c r="AA47" s="86">
        <f t="shared" si="47"/>
        <v>41524234.560000002</v>
      </c>
      <c r="AB47" s="86">
        <f t="shared" si="47"/>
        <v>136398845.44</v>
      </c>
      <c r="AC47" s="86"/>
      <c r="AD47" s="86"/>
      <c r="AE47" s="86"/>
      <c r="AF47" s="86">
        <f t="shared" ref="AF47" si="48">+AF48+AF51+AF66</f>
        <v>72533890.730000004</v>
      </c>
      <c r="AH47" s="27">
        <v>11350816</v>
      </c>
    </row>
    <row r="48" spans="2:34" ht="20" thickBot="1" x14ac:dyDescent="0.25">
      <c r="B48" s="105" t="s">
        <v>117</v>
      </c>
      <c r="C48" s="106" t="s">
        <v>66</v>
      </c>
      <c r="D48" s="107">
        <f>SUM(D49:D50)</f>
        <v>30000000</v>
      </c>
      <c r="E48" s="107">
        <f t="shared" ref="E48:U48" si="49">SUM(E49:E50)</f>
        <v>6160000</v>
      </c>
      <c r="F48" s="107">
        <f t="shared" si="49"/>
        <v>0</v>
      </c>
      <c r="G48" s="107">
        <f t="shared" si="49"/>
        <v>0</v>
      </c>
      <c r="H48" s="107">
        <f t="shared" si="49"/>
        <v>0</v>
      </c>
      <c r="I48" s="107">
        <f t="shared" si="49"/>
        <v>134100</v>
      </c>
      <c r="J48" s="107">
        <f t="shared" si="49"/>
        <v>54200</v>
      </c>
      <c r="K48" s="107">
        <f t="shared" si="49"/>
        <v>15100</v>
      </c>
      <c r="L48" s="107">
        <f t="shared" si="49"/>
        <v>44000</v>
      </c>
      <c r="M48" s="107">
        <f t="shared" si="49"/>
        <v>0</v>
      </c>
      <c r="N48" s="107">
        <f t="shared" si="49"/>
        <v>94650</v>
      </c>
      <c r="O48" s="107">
        <f t="shared" si="49"/>
        <v>0</v>
      </c>
      <c r="P48" s="107">
        <f>+P49</f>
        <v>48867</v>
      </c>
      <c r="Q48" s="107">
        <f t="shared" si="49"/>
        <v>51550</v>
      </c>
      <c r="R48" s="107">
        <f t="shared" si="49"/>
        <v>159450</v>
      </c>
      <c r="S48" s="107">
        <f t="shared" si="49"/>
        <v>58564</v>
      </c>
      <c r="T48" s="108">
        <f t="shared" si="49"/>
        <v>526381</v>
      </c>
      <c r="U48" s="107">
        <f t="shared" si="49"/>
        <v>301207</v>
      </c>
      <c r="V48" s="107">
        <f>SUM(V49:V50)</f>
        <v>827588</v>
      </c>
      <c r="W48" s="107">
        <f t="shared" ref="W48:AB48" si="50">SUM(W49:W50)</f>
        <v>0</v>
      </c>
      <c r="X48" s="107">
        <f t="shared" si="50"/>
        <v>28740</v>
      </c>
      <c r="Y48" s="107">
        <f t="shared" si="50"/>
        <v>280250</v>
      </c>
      <c r="Z48" s="107">
        <f t="shared" si="50"/>
        <v>324800</v>
      </c>
      <c r="AA48" s="107">
        <f t="shared" si="50"/>
        <v>1461378</v>
      </c>
      <c r="AB48" s="107">
        <f t="shared" si="50"/>
        <v>4698622</v>
      </c>
      <c r="AC48" s="107"/>
      <c r="AD48" s="107"/>
      <c r="AE48" s="107"/>
      <c r="AF48" s="107">
        <f t="shared" ref="AF48" si="51">SUM(AF49:AF50)</f>
        <v>7300000</v>
      </c>
      <c r="AH48" s="28">
        <f>SUM(AH49:AH50)</f>
        <v>1204828</v>
      </c>
    </row>
    <row r="49" spans="2:35" ht="22.5" customHeight="1" thickBot="1" x14ac:dyDescent="0.25">
      <c r="B49" s="109" t="s">
        <v>118</v>
      </c>
      <c r="C49" s="91" t="s">
        <v>67</v>
      </c>
      <c r="D49" s="92">
        <v>10000000</v>
      </c>
      <c r="E49" s="92">
        <v>2160000</v>
      </c>
      <c r="F49" s="51"/>
      <c r="G49" s="51"/>
      <c r="H49" s="51"/>
      <c r="I49" s="92">
        <v>134100</v>
      </c>
      <c r="J49" s="92">
        <v>54200</v>
      </c>
      <c r="K49" s="92">
        <v>15100</v>
      </c>
      <c r="L49" s="92">
        <v>44000</v>
      </c>
      <c r="M49" s="92"/>
      <c r="N49" s="92">
        <v>94650</v>
      </c>
      <c r="O49" s="92"/>
      <c r="P49" s="92">
        <f>48700+167</f>
        <v>48867</v>
      </c>
      <c r="Q49" s="92">
        <f>+'[2]REGISTROS CONTABLES-JUNIO 16'!$E$248</f>
        <v>51550</v>
      </c>
      <c r="R49" s="92">
        <v>159450</v>
      </c>
      <c r="S49" s="92">
        <v>58564</v>
      </c>
      <c r="T49" s="94">
        <f t="shared" ref="T49" si="52">+S49+R49+Q49+P49+N49+L49+K49+J49</f>
        <v>526381</v>
      </c>
      <c r="U49" s="92">
        <v>45650</v>
      </c>
      <c r="V49" s="92">
        <f t="shared" ref="V49:V50" si="53">+T49+U49</f>
        <v>572031</v>
      </c>
      <c r="W49" s="92"/>
      <c r="X49" s="92">
        <v>28740</v>
      </c>
      <c r="Y49" s="95">
        <v>280250</v>
      </c>
      <c r="Z49" s="95">
        <f>187900+136900</f>
        <v>324800</v>
      </c>
      <c r="AA49" s="92">
        <f t="shared" ref="AA49:AA50" si="54">+V49+X49+Y49+Z49</f>
        <v>1205821</v>
      </c>
      <c r="AB49" s="92">
        <f t="shared" ref="AB49:AB50" si="55">+E49-AA49</f>
        <v>954179</v>
      </c>
      <c r="AC49" s="92"/>
      <c r="AD49" s="92"/>
      <c r="AE49" s="92"/>
      <c r="AF49" s="99">
        <v>2300000</v>
      </c>
      <c r="AH49" s="22">
        <v>182600</v>
      </c>
      <c r="AI49" s="50" t="s">
        <v>68</v>
      </c>
    </row>
    <row r="50" spans="2:35" ht="20" thickBot="1" x14ac:dyDescent="0.25">
      <c r="B50" s="109" t="s">
        <v>119</v>
      </c>
      <c r="C50" s="91" t="s">
        <v>69</v>
      </c>
      <c r="D50" s="92">
        <v>20000000</v>
      </c>
      <c r="E50" s="92">
        <v>4000000</v>
      </c>
      <c r="F50" s="51"/>
      <c r="G50" s="51"/>
      <c r="H50" s="51"/>
      <c r="I50" s="92">
        <v>0</v>
      </c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4"/>
      <c r="U50" s="92">
        <v>255557</v>
      </c>
      <c r="V50" s="92">
        <f t="shared" si="53"/>
        <v>255557</v>
      </c>
      <c r="W50" s="92"/>
      <c r="X50" s="92"/>
      <c r="Y50" s="92"/>
      <c r="Z50" s="92"/>
      <c r="AA50" s="92">
        <f t="shared" si="54"/>
        <v>255557</v>
      </c>
      <c r="AB50" s="92">
        <f t="shared" si="55"/>
        <v>3744443</v>
      </c>
      <c r="AC50" s="92"/>
      <c r="AD50" s="92"/>
      <c r="AE50" s="92"/>
      <c r="AF50" s="99">
        <v>5000000</v>
      </c>
      <c r="AH50" s="22">
        <v>1022228</v>
      </c>
    </row>
    <row r="51" spans="2:35" ht="20" thickBot="1" x14ac:dyDescent="0.25">
      <c r="B51" s="105" t="s">
        <v>120</v>
      </c>
      <c r="C51" s="106" t="s">
        <v>70</v>
      </c>
      <c r="D51" s="107">
        <f>SUM(D52:D64)</f>
        <v>18526667</v>
      </c>
      <c r="E51" s="107">
        <f t="shared" ref="E51:O51" si="56">SUM(E52:E64)</f>
        <v>88635000</v>
      </c>
      <c r="F51" s="107">
        <f t="shared" si="56"/>
        <v>0</v>
      </c>
      <c r="G51" s="107">
        <f t="shared" si="56"/>
        <v>0</v>
      </c>
      <c r="H51" s="107">
        <f t="shared" si="56"/>
        <v>0</v>
      </c>
      <c r="I51" s="107">
        <f t="shared" si="56"/>
        <v>7870416</v>
      </c>
      <c r="J51" s="107">
        <f>SUM(J52:J64)</f>
        <v>2354174</v>
      </c>
      <c r="K51" s="107">
        <f t="shared" si="56"/>
        <v>3476508</v>
      </c>
      <c r="L51" s="107">
        <f t="shared" si="56"/>
        <v>2393908</v>
      </c>
      <c r="M51" s="107">
        <f t="shared" si="56"/>
        <v>0</v>
      </c>
      <c r="N51" s="107">
        <f t="shared" si="56"/>
        <v>3413799</v>
      </c>
      <c r="O51" s="107">
        <f t="shared" si="56"/>
        <v>0</v>
      </c>
      <c r="P51" s="107">
        <f>SUM(P52:P64)</f>
        <v>2769857</v>
      </c>
      <c r="Q51" s="107">
        <f t="shared" ref="Q51:U51" si="57">SUM(Q52:Q64)</f>
        <v>2514344</v>
      </c>
      <c r="R51" s="107">
        <f t="shared" si="57"/>
        <v>3528285</v>
      </c>
      <c r="S51" s="107">
        <f t="shared" si="57"/>
        <v>2517624</v>
      </c>
      <c r="T51" s="108">
        <f t="shared" si="57"/>
        <v>22968499</v>
      </c>
      <c r="U51" s="107">
        <f t="shared" si="57"/>
        <v>2536497</v>
      </c>
      <c r="V51" s="107">
        <f>SUM(V52:V64)</f>
        <v>25504996</v>
      </c>
      <c r="W51" s="107">
        <f t="shared" ref="W51:AA51" si="58">SUM(W52:W64)</f>
        <v>0</v>
      </c>
      <c r="X51" s="107">
        <f t="shared" si="58"/>
        <v>3599945</v>
      </c>
      <c r="Y51" s="107">
        <f t="shared" si="58"/>
        <v>2466324</v>
      </c>
      <c r="Z51" s="107">
        <f t="shared" si="58"/>
        <v>4876214</v>
      </c>
      <c r="AA51" s="107">
        <f t="shared" si="58"/>
        <v>36447479</v>
      </c>
      <c r="AB51" s="107">
        <f>SUM(AB52:AB64)</f>
        <v>52187521</v>
      </c>
      <c r="AC51" s="107"/>
      <c r="AD51" s="107"/>
      <c r="AE51" s="107"/>
      <c r="AF51" s="107">
        <f t="shared" ref="AF51" si="59">SUM(AF52:AF64)</f>
        <v>58733890.730000004</v>
      </c>
      <c r="AH51" s="28">
        <f t="shared" ref="AH51" si="60">SUM(AH52:AH64)</f>
        <v>10145988</v>
      </c>
    </row>
    <row r="52" spans="2:35" ht="20" thickBot="1" x14ac:dyDescent="0.25">
      <c r="B52" s="104" t="s">
        <v>121</v>
      </c>
      <c r="C52" s="91" t="s">
        <v>71</v>
      </c>
      <c r="D52" s="92">
        <v>10000000</v>
      </c>
      <c r="E52" s="92">
        <v>24000000</v>
      </c>
      <c r="F52" s="51"/>
      <c r="G52" s="51"/>
      <c r="H52" s="51"/>
      <c r="I52" s="92">
        <v>0</v>
      </c>
      <c r="J52" s="92"/>
      <c r="K52" s="92">
        <v>0</v>
      </c>
      <c r="L52" s="92">
        <v>0</v>
      </c>
      <c r="M52" s="92"/>
      <c r="N52" s="92">
        <v>834061</v>
      </c>
      <c r="O52" s="92"/>
      <c r="P52" s="92">
        <v>380234</v>
      </c>
      <c r="Q52" s="92"/>
      <c r="R52" s="92">
        <v>966350</v>
      </c>
      <c r="S52" s="92"/>
      <c r="T52" s="94">
        <f t="shared" ref="T52:T64" si="61">+S52+R52+Q52+P52+N52+L52+K52+J52</f>
        <v>2180645</v>
      </c>
      <c r="U52" s="92"/>
      <c r="V52" s="92">
        <f t="shared" ref="V52:V64" si="62">+T52+U52</f>
        <v>2180645</v>
      </c>
      <c r="W52" s="92"/>
      <c r="X52" s="92">
        <f>414150+496361+113700</f>
        <v>1024211</v>
      </c>
      <c r="Y52" s="92">
        <v>0</v>
      </c>
      <c r="Z52" s="92"/>
      <c r="AA52" s="92">
        <f t="shared" ref="AA52:AA64" si="63">+V52+X52+Y52+Z52</f>
        <v>3204856</v>
      </c>
      <c r="AB52" s="92">
        <f t="shared" ref="AB52:AB64" si="64">+E52-AA52</f>
        <v>20795144</v>
      </c>
      <c r="AC52" s="92"/>
      <c r="AD52" s="92"/>
      <c r="AE52" s="92"/>
      <c r="AF52" s="99">
        <v>24000000</v>
      </c>
      <c r="AH52" s="22">
        <v>0</v>
      </c>
    </row>
    <row r="53" spans="2:35" ht="20" thickBot="1" x14ac:dyDescent="0.25">
      <c r="B53" s="104" t="s">
        <v>122</v>
      </c>
      <c r="C53" s="91" t="s">
        <v>72</v>
      </c>
      <c r="D53" s="92">
        <v>2000000</v>
      </c>
      <c r="E53" s="92">
        <v>12000000</v>
      </c>
      <c r="F53" s="51"/>
      <c r="G53" s="51"/>
      <c r="H53" s="51"/>
      <c r="I53" s="92">
        <v>1103800</v>
      </c>
      <c r="J53" s="92"/>
      <c r="K53" s="92">
        <v>1103800</v>
      </c>
      <c r="L53" s="92"/>
      <c r="M53" s="92"/>
      <c r="N53" s="92">
        <f>69500+'[3]REGISTROS CONTABLES-ABRIL 16'!$E$393</f>
        <v>79100</v>
      </c>
      <c r="O53" s="92"/>
      <c r="P53" s="92">
        <v>54900</v>
      </c>
      <c r="Q53" s="92"/>
      <c r="R53" s="92">
        <v>54680</v>
      </c>
      <c r="S53" s="92">
        <v>4800</v>
      </c>
      <c r="T53" s="94">
        <f t="shared" si="61"/>
        <v>1297280</v>
      </c>
      <c r="U53" s="92">
        <v>0</v>
      </c>
      <c r="V53" s="92">
        <f t="shared" si="62"/>
        <v>1297280</v>
      </c>
      <c r="W53" s="92"/>
      <c r="X53" s="92">
        <v>40800</v>
      </c>
      <c r="Y53" s="92">
        <v>0</v>
      </c>
      <c r="Z53" s="92">
        <v>0</v>
      </c>
      <c r="AA53" s="92">
        <f t="shared" si="63"/>
        <v>1338080</v>
      </c>
      <c r="AB53" s="92">
        <f t="shared" si="64"/>
        <v>10661920</v>
      </c>
      <c r="AC53" s="92"/>
      <c r="AD53" s="92"/>
      <c r="AE53" s="92"/>
      <c r="AF53" s="99">
        <f>+AA53*1.07</f>
        <v>1431745.6</v>
      </c>
      <c r="AH53" s="22">
        <v>0</v>
      </c>
    </row>
    <row r="54" spans="2:35" ht="20" thickBot="1" x14ac:dyDescent="0.25">
      <c r="B54" s="104" t="s">
        <v>123</v>
      </c>
      <c r="C54" s="91" t="s">
        <v>73</v>
      </c>
      <c r="D54" s="92">
        <v>2000000</v>
      </c>
      <c r="E54" s="92">
        <v>360000</v>
      </c>
      <c r="F54" s="51"/>
      <c r="G54" s="51"/>
      <c r="H54" s="51"/>
      <c r="I54" s="92">
        <v>9800</v>
      </c>
      <c r="J54" s="92"/>
      <c r="K54" s="92">
        <v>4900</v>
      </c>
      <c r="L54" s="92">
        <v>4900</v>
      </c>
      <c r="M54" s="92"/>
      <c r="N54" s="92">
        <f>+'[3]REGISTROS CONTABLES-ABRIL 16'!$E$398</f>
        <v>23000</v>
      </c>
      <c r="O54" s="92"/>
      <c r="P54" s="92"/>
      <c r="Q54" s="92">
        <f>+'[2]REGISTROS CONTABLES-JUNIO 16'!$E$244</f>
        <v>22900</v>
      </c>
      <c r="R54" s="92">
        <v>22700</v>
      </c>
      <c r="S54" s="92">
        <v>8500</v>
      </c>
      <c r="T54" s="94">
        <f t="shared" si="61"/>
        <v>86900</v>
      </c>
      <c r="U54" s="92">
        <v>20800</v>
      </c>
      <c r="V54" s="92">
        <f t="shared" si="62"/>
        <v>107700</v>
      </c>
      <c r="W54" s="92"/>
      <c r="X54" s="92">
        <v>15200</v>
      </c>
      <c r="Y54" s="92">
        <v>0</v>
      </c>
      <c r="Z54" s="95">
        <f>1496000+23100+55800+200000</f>
        <v>1774900</v>
      </c>
      <c r="AA54" s="92">
        <f t="shared" si="63"/>
        <v>1897800</v>
      </c>
      <c r="AB54" s="92">
        <f t="shared" si="64"/>
        <v>-1537800</v>
      </c>
      <c r="AC54" s="92"/>
      <c r="AD54" s="92"/>
      <c r="AE54" s="92"/>
      <c r="AF54" s="99">
        <v>200857</v>
      </c>
      <c r="AH54" s="22">
        <v>83200</v>
      </c>
    </row>
    <row r="55" spans="2:35" ht="20" thickBot="1" x14ac:dyDescent="0.25">
      <c r="B55" s="104" t="s">
        <v>124</v>
      </c>
      <c r="C55" s="91" t="s">
        <v>74</v>
      </c>
      <c r="D55" s="92">
        <v>500000</v>
      </c>
      <c r="E55" s="92">
        <v>315000</v>
      </c>
      <c r="F55" s="51"/>
      <c r="G55" s="51"/>
      <c r="H55" s="51"/>
      <c r="I55" s="92">
        <v>18950</v>
      </c>
      <c r="J55" s="92"/>
      <c r="K55" s="92">
        <v>2700</v>
      </c>
      <c r="L55" s="92">
        <v>16250</v>
      </c>
      <c r="M55" s="92"/>
      <c r="N55" s="92">
        <f>+'[3]REGISTROS CONTABLES-ABRIL 16'!$E$399</f>
        <v>47100</v>
      </c>
      <c r="O55" s="92"/>
      <c r="P55" s="92"/>
      <c r="Q55" s="92">
        <f>+'[2]REGISTROS CONTABLES-JUNIO 16'!$E$247</f>
        <v>15000</v>
      </c>
      <c r="R55" s="92"/>
      <c r="S55" s="92">
        <v>8800</v>
      </c>
      <c r="T55" s="94">
        <f t="shared" si="61"/>
        <v>89850</v>
      </c>
      <c r="U55" s="92">
        <v>2500</v>
      </c>
      <c r="V55" s="92">
        <f t="shared" si="62"/>
        <v>92350</v>
      </c>
      <c r="W55" s="92"/>
      <c r="X55" s="92"/>
      <c r="Y55" s="95">
        <v>12000</v>
      </c>
      <c r="Z55" s="95">
        <f>5400+8000</f>
        <v>13400</v>
      </c>
      <c r="AA55" s="92">
        <f t="shared" si="63"/>
        <v>117750</v>
      </c>
      <c r="AB55" s="92">
        <f t="shared" si="64"/>
        <v>197250</v>
      </c>
      <c r="AC55" s="92"/>
      <c r="AD55" s="92"/>
      <c r="AE55" s="92"/>
      <c r="AF55" s="99">
        <f>+AA55*1.07</f>
        <v>125992.50000000001</v>
      </c>
      <c r="AH55" s="22">
        <v>10000</v>
      </c>
    </row>
    <row r="56" spans="2:35" ht="20" thickBot="1" x14ac:dyDescent="0.25">
      <c r="B56" s="104" t="s">
        <v>125</v>
      </c>
      <c r="C56" s="91" t="s">
        <v>75</v>
      </c>
      <c r="D56" s="92">
        <v>3026667</v>
      </c>
      <c r="E56" s="92">
        <v>15600000</v>
      </c>
      <c r="F56" s="51"/>
      <c r="G56" s="51"/>
      <c r="H56" s="51"/>
      <c r="I56" s="92">
        <v>0</v>
      </c>
      <c r="J56" s="92">
        <v>20000</v>
      </c>
      <c r="K56" s="92">
        <v>0</v>
      </c>
      <c r="L56" s="92"/>
      <c r="M56" s="92"/>
      <c r="N56" s="92"/>
      <c r="O56" s="92"/>
      <c r="P56" s="92">
        <v>20000</v>
      </c>
      <c r="Q56" s="92">
        <f>+'[2]REGISTROS CONTABLES-JUNIO 16'!$E$249</f>
        <v>45900</v>
      </c>
      <c r="R56" s="92"/>
      <c r="S56" s="92">
        <v>20000</v>
      </c>
      <c r="T56" s="94">
        <f t="shared" si="61"/>
        <v>105900</v>
      </c>
      <c r="U56" s="92">
        <v>34534</v>
      </c>
      <c r="V56" s="92">
        <f t="shared" si="62"/>
        <v>140434</v>
      </c>
      <c r="W56" s="92"/>
      <c r="X56" s="92">
        <v>20000</v>
      </c>
      <c r="Y56" s="92">
        <v>0</v>
      </c>
      <c r="Z56" s="95">
        <f>170520+150000</f>
        <v>320520</v>
      </c>
      <c r="AA56" s="92">
        <f t="shared" si="63"/>
        <v>480954</v>
      </c>
      <c r="AB56" s="92">
        <f t="shared" si="64"/>
        <v>15119046</v>
      </c>
      <c r="AC56" s="92"/>
      <c r="AD56" s="92"/>
      <c r="AE56" s="92"/>
      <c r="AF56" s="99">
        <v>10000000</v>
      </c>
      <c r="AH56" s="22">
        <v>138136</v>
      </c>
    </row>
    <row r="57" spans="2:35" ht="20" thickBot="1" x14ac:dyDescent="0.25">
      <c r="B57" s="104" t="s">
        <v>126</v>
      </c>
      <c r="C57" s="91" t="s">
        <v>76</v>
      </c>
      <c r="D57" s="92">
        <v>1000000</v>
      </c>
      <c r="E57" s="92">
        <v>1440000</v>
      </c>
      <c r="F57" s="51"/>
      <c r="G57" s="51"/>
      <c r="H57" s="51"/>
      <c r="I57" s="92">
        <v>48800</v>
      </c>
      <c r="J57" s="92"/>
      <c r="K57" s="92">
        <v>20100</v>
      </c>
      <c r="L57" s="92">
        <v>28700</v>
      </c>
      <c r="M57" s="92"/>
      <c r="N57" s="92">
        <f>97670+'[3]REGISTROS CONTABLES-ABRIL 16'!$E$396</f>
        <v>112620</v>
      </c>
      <c r="O57" s="92"/>
      <c r="P57" s="92">
        <v>11700</v>
      </c>
      <c r="Q57" s="92">
        <f>+'[2]REGISTROS CONTABLES-JUNIO 16'!$E$245</f>
        <v>121100</v>
      </c>
      <c r="R57" s="92">
        <v>24800</v>
      </c>
      <c r="S57" s="92">
        <v>20650</v>
      </c>
      <c r="T57" s="94">
        <f t="shared" si="61"/>
        <v>339670</v>
      </c>
      <c r="U57" s="92">
        <v>26200</v>
      </c>
      <c r="V57" s="92">
        <f t="shared" si="62"/>
        <v>365870</v>
      </c>
      <c r="W57" s="92"/>
      <c r="X57" s="92">
        <v>28000</v>
      </c>
      <c r="Y57" s="95">
        <v>1800</v>
      </c>
      <c r="Z57" s="95">
        <f>11800+73600+229400</f>
        <v>314800</v>
      </c>
      <c r="AA57" s="92">
        <f t="shared" si="63"/>
        <v>710470</v>
      </c>
      <c r="AB57" s="92">
        <f t="shared" si="64"/>
        <v>729530</v>
      </c>
      <c r="AC57" s="92"/>
      <c r="AD57" s="92"/>
      <c r="AE57" s="92"/>
      <c r="AF57" s="99">
        <v>2000000</v>
      </c>
      <c r="AH57" s="22">
        <v>104800</v>
      </c>
    </row>
    <row r="58" spans="2:35" ht="20" thickBot="1" x14ac:dyDescent="0.25">
      <c r="B58" s="104" t="s">
        <v>127</v>
      </c>
      <c r="C58" s="91" t="s">
        <v>77</v>
      </c>
      <c r="D58" s="92"/>
      <c r="E58" s="92">
        <v>25200000</v>
      </c>
      <c r="F58" s="51"/>
      <c r="G58" s="51"/>
      <c r="H58" s="51"/>
      <c r="I58" s="92">
        <v>5745000</v>
      </c>
      <c r="J58" s="92">
        <v>1915000</v>
      </c>
      <c r="K58" s="92">
        <v>1915000</v>
      </c>
      <c r="L58" s="92">
        <v>1915000</v>
      </c>
      <c r="M58" s="92"/>
      <c r="N58" s="92">
        <v>1915000</v>
      </c>
      <c r="O58" s="92"/>
      <c r="P58" s="92">
        <v>1915000</v>
      </c>
      <c r="Q58" s="92">
        <v>1915000</v>
      </c>
      <c r="R58" s="92">
        <v>2050400</v>
      </c>
      <c r="S58" s="92">
        <v>2050400</v>
      </c>
      <c r="T58" s="94">
        <f t="shared" si="61"/>
        <v>15590800</v>
      </c>
      <c r="U58" s="92">
        <v>2050421</v>
      </c>
      <c r="V58" s="92">
        <f t="shared" si="62"/>
        <v>17641221</v>
      </c>
      <c r="W58" s="92"/>
      <c r="X58" s="92">
        <v>2135400</v>
      </c>
      <c r="Y58" s="95">
        <v>2135400</v>
      </c>
      <c r="Z58" s="95">
        <v>2135400</v>
      </c>
      <c r="AA58" s="92">
        <f t="shared" si="63"/>
        <v>24047421</v>
      </c>
      <c r="AB58" s="92">
        <f t="shared" si="64"/>
        <v>1152579</v>
      </c>
      <c r="AC58" s="92"/>
      <c r="AD58" s="92"/>
      <c r="AE58" s="92"/>
      <c r="AF58" s="99">
        <v>6000000</v>
      </c>
      <c r="AH58" s="22">
        <v>8201684</v>
      </c>
    </row>
    <row r="59" spans="2:35" ht="20" thickBot="1" x14ac:dyDescent="0.25">
      <c r="B59" s="104" t="s">
        <v>128</v>
      </c>
      <c r="C59" s="91" t="s">
        <v>78</v>
      </c>
      <c r="D59" s="92"/>
      <c r="E59" s="92">
        <v>1140000</v>
      </c>
      <c r="F59" s="51"/>
      <c r="G59" s="51"/>
      <c r="H59" s="51"/>
      <c r="I59" s="92">
        <v>255000</v>
      </c>
      <c r="J59" s="92">
        <v>85000</v>
      </c>
      <c r="K59" s="92">
        <v>85000</v>
      </c>
      <c r="L59" s="92">
        <v>85000</v>
      </c>
      <c r="M59" s="92"/>
      <c r="N59" s="92">
        <v>85000</v>
      </c>
      <c r="O59" s="92"/>
      <c r="P59" s="92">
        <v>85000</v>
      </c>
      <c r="Q59" s="92">
        <v>85000</v>
      </c>
      <c r="R59" s="92">
        <v>85000</v>
      </c>
      <c r="S59" s="92">
        <v>85000</v>
      </c>
      <c r="T59" s="94">
        <f t="shared" si="61"/>
        <v>680000</v>
      </c>
      <c r="U59" s="92">
        <v>85000</v>
      </c>
      <c r="V59" s="92">
        <f t="shared" si="62"/>
        <v>765000</v>
      </c>
      <c r="W59" s="92"/>
      <c r="X59" s="92"/>
      <c r="Y59" s="92"/>
      <c r="Z59" s="92"/>
      <c r="AA59" s="92">
        <f t="shared" si="63"/>
        <v>765000</v>
      </c>
      <c r="AB59" s="92">
        <f t="shared" si="64"/>
        <v>375000</v>
      </c>
      <c r="AC59" s="92"/>
      <c r="AD59" s="92"/>
      <c r="AE59" s="92"/>
      <c r="AF59" s="99">
        <f>+AA59*1.07</f>
        <v>818550</v>
      </c>
      <c r="AH59" s="22">
        <v>340000</v>
      </c>
    </row>
    <row r="60" spans="2:35" ht="20" thickBot="1" x14ac:dyDescent="0.25">
      <c r="B60" s="104" t="s">
        <v>129</v>
      </c>
      <c r="C60" s="91" t="s">
        <v>79</v>
      </c>
      <c r="D60" s="92"/>
      <c r="E60" s="92">
        <v>720000</v>
      </c>
      <c r="F60" s="51"/>
      <c r="G60" s="51"/>
      <c r="H60" s="51"/>
      <c r="I60" s="92">
        <v>122100</v>
      </c>
      <c r="J60" s="92">
        <v>55020</v>
      </c>
      <c r="K60" s="92">
        <v>59000</v>
      </c>
      <c r="L60" s="92">
        <v>63100</v>
      </c>
      <c r="M60" s="92"/>
      <c r="N60" s="92">
        <v>37990</v>
      </c>
      <c r="O60" s="92"/>
      <c r="P60" s="92">
        <v>23530</v>
      </c>
      <c r="Q60" s="92">
        <v>30290</v>
      </c>
      <c r="R60" s="92">
        <v>44840</v>
      </c>
      <c r="S60" s="92">
        <v>40320</v>
      </c>
      <c r="T60" s="94">
        <f t="shared" si="61"/>
        <v>354090</v>
      </c>
      <c r="U60" s="92">
        <v>29230</v>
      </c>
      <c r="V60" s="92">
        <f t="shared" si="62"/>
        <v>383320</v>
      </c>
      <c r="W60" s="92"/>
      <c r="X60" s="92">
        <v>57180</v>
      </c>
      <c r="Y60" s="95">
        <v>37970</v>
      </c>
      <c r="Z60" s="95">
        <v>38040</v>
      </c>
      <c r="AA60" s="92">
        <f t="shared" si="63"/>
        <v>516510</v>
      </c>
      <c r="AB60" s="92">
        <f t="shared" si="64"/>
        <v>203490</v>
      </c>
      <c r="AC60" s="92"/>
      <c r="AD60" s="92"/>
      <c r="AE60" s="92"/>
      <c r="AF60" s="99">
        <f>+AA60*1.07</f>
        <v>552665.70000000007</v>
      </c>
      <c r="AH60" s="22">
        <v>116920</v>
      </c>
    </row>
    <row r="61" spans="2:35" ht="20" thickBot="1" x14ac:dyDescent="0.25">
      <c r="B61" s="104" t="s">
        <v>130</v>
      </c>
      <c r="C61" s="91" t="s">
        <v>80</v>
      </c>
      <c r="D61" s="92"/>
      <c r="E61" s="92">
        <v>3540000</v>
      </c>
      <c r="F61" s="51"/>
      <c r="G61" s="51"/>
      <c r="H61" s="51"/>
      <c r="I61" s="92">
        <v>566966</v>
      </c>
      <c r="J61" s="92">
        <v>279154</v>
      </c>
      <c r="K61" s="92">
        <v>286008</v>
      </c>
      <c r="L61" s="92">
        <v>280958</v>
      </c>
      <c r="M61" s="92"/>
      <c r="N61" s="92">
        <v>279928</v>
      </c>
      <c r="O61" s="92"/>
      <c r="P61" s="92">
        <v>279154</v>
      </c>
      <c r="Q61" s="92">
        <v>279154</v>
      </c>
      <c r="R61" s="92">
        <v>279515</v>
      </c>
      <c r="S61" s="92">
        <v>279154</v>
      </c>
      <c r="T61" s="94">
        <f t="shared" si="61"/>
        <v>2243025</v>
      </c>
      <c r="U61" s="92">
        <v>287812</v>
      </c>
      <c r="V61" s="92">
        <f t="shared" si="62"/>
        <v>2530837</v>
      </c>
      <c r="W61" s="92"/>
      <c r="X61" s="92">
        <v>279154</v>
      </c>
      <c r="Y61" s="95">
        <v>279154</v>
      </c>
      <c r="Z61" s="95">
        <v>279154</v>
      </c>
      <c r="AA61" s="92">
        <f t="shared" si="63"/>
        <v>3368299</v>
      </c>
      <c r="AB61" s="92">
        <f t="shared" si="64"/>
        <v>171701</v>
      </c>
      <c r="AC61" s="92"/>
      <c r="AD61" s="92"/>
      <c r="AE61" s="92"/>
      <c r="AF61" s="99">
        <f>+AA61*1.07</f>
        <v>3604079.93</v>
      </c>
      <c r="AH61" s="22">
        <v>1151248</v>
      </c>
    </row>
    <row r="62" spans="2:35" ht="20" thickBot="1" x14ac:dyDescent="0.25">
      <c r="B62" s="104" t="s">
        <v>131</v>
      </c>
      <c r="C62" s="91" t="s">
        <v>81</v>
      </c>
      <c r="D62" s="92"/>
      <c r="E62" s="92">
        <v>3000000</v>
      </c>
      <c r="F62" s="51"/>
      <c r="G62" s="51"/>
      <c r="H62" s="51"/>
      <c r="I62" s="92">
        <v>0</v>
      </c>
      <c r="J62" s="92"/>
      <c r="K62" s="92">
        <v>0</v>
      </c>
      <c r="L62" s="92"/>
      <c r="M62" s="92"/>
      <c r="N62" s="92"/>
      <c r="O62" s="92"/>
      <c r="P62" s="92"/>
      <c r="Q62" s="92"/>
      <c r="R62" s="92"/>
      <c r="S62" s="92"/>
      <c r="T62" s="94">
        <f t="shared" si="61"/>
        <v>0</v>
      </c>
      <c r="U62" s="92"/>
      <c r="V62" s="92">
        <f t="shared" si="62"/>
        <v>0</v>
      </c>
      <c r="W62" s="92"/>
      <c r="X62" s="92"/>
      <c r="Y62" s="92"/>
      <c r="Z62" s="92"/>
      <c r="AA62" s="92">
        <f t="shared" si="63"/>
        <v>0</v>
      </c>
      <c r="AB62" s="92">
        <f t="shared" si="64"/>
        <v>3000000</v>
      </c>
      <c r="AC62" s="92"/>
      <c r="AD62" s="92"/>
      <c r="AE62" s="92"/>
      <c r="AF62" s="99">
        <v>3000000</v>
      </c>
      <c r="AH62" s="22">
        <v>0</v>
      </c>
    </row>
    <row r="63" spans="2:35" ht="20" thickBot="1" x14ac:dyDescent="0.25">
      <c r="B63" s="104" t="s">
        <v>132</v>
      </c>
      <c r="C63" s="91" t="s">
        <v>82</v>
      </c>
      <c r="D63" s="92"/>
      <c r="E63" s="92">
        <v>1320000</v>
      </c>
      <c r="F63" s="51"/>
      <c r="G63" s="51"/>
      <c r="H63" s="51"/>
      <c r="I63" s="92">
        <v>0</v>
      </c>
      <c r="J63" s="92"/>
      <c r="K63" s="92">
        <v>0</v>
      </c>
      <c r="L63" s="92"/>
      <c r="M63" s="92"/>
      <c r="N63" s="92"/>
      <c r="O63" s="92"/>
      <c r="P63" s="92"/>
      <c r="Q63" s="92"/>
      <c r="R63" s="92"/>
      <c r="S63" s="92"/>
      <c r="T63" s="94">
        <f t="shared" si="61"/>
        <v>0</v>
      </c>
      <c r="U63" s="92"/>
      <c r="V63" s="92">
        <f t="shared" si="62"/>
        <v>0</v>
      </c>
      <c r="W63" s="92"/>
      <c r="X63" s="92"/>
      <c r="Y63" s="92"/>
      <c r="Z63" s="92"/>
      <c r="AA63" s="92">
        <f t="shared" si="63"/>
        <v>0</v>
      </c>
      <c r="AB63" s="92">
        <f t="shared" si="64"/>
        <v>1320000</v>
      </c>
      <c r="AC63" s="92"/>
      <c r="AD63" s="92"/>
      <c r="AE63" s="92"/>
      <c r="AF63" s="99">
        <v>2000000</v>
      </c>
      <c r="AH63" s="22">
        <v>0</v>
      </c>
    </row>
    <row r="64" spans="2:35" ht="18.75" customHeight="1" thickBot="1" x14ac:dyDescent="0.25">
      <c r="B64" s="104" t="s">
        <v>133</v>
      </c>
      <c r="C64" s="91" t="s">
        <v>83</v>
      </c>
      <c r="D64" s="92">
        <v>0</v>
      </c>
      <c r="E64" s="92">
        <v>0</v>
      </c>
      <c r="F64" s="51"/>
      <c r="G64" s="51"/>
      <c r="H64" s="51"/>
      <c r="I64" s="92">
        <v>0</v>
      </c>
      <c r="J64" s="92">
        <v>0</v>
      </c>
      <c r="K64" s="92">
        <v>0</v>
      </c>
      <c r="L64" s="92">
        <v>0</v>
      </c>
      <c r="M64" s="92">
        <v>0</v>
      </c>
      <c r="N64" s="92">
        <v>0</v>
      </c>
      <c r="O64" s="92">
        <v>0</v>
      </c>
      <c r="P64" s="92">
        <v>339</v>
      </c>
      <c r="Q64" s="92"/>
      <c r="R64" s="92"/>
      <c r="S64" s="92"/>
      <c r="T64" s="94">
        <f t="shared" si="61"/>
        <v>339</v>
      </c>
      <c r="U64" s="92"/>
      <c r="V64" s="92">
        <f t="shared" si="62"/>
        <v>339</v>
      </c>
      <c r="W64" s="92"/>
      <c r="X64" s="92"/>
      <c r="Y64" s="92"/>
      <c r="Z64" s="92"/>
      <c r="AA64" s="92">
        <f t="shared" si="63"/>
        <v>339</v>
      </c>
      <c r="AB64" s="92">
        <f t="shared" si="64"/>
        <v>-339</v>
      </c>
      <c r="AC64" s="92"/>
      <c r="AD64" s="92"/>
      <c r="AE64" s="92"/>
      <c r="AF64" s="92">
        <v>5000000</v>
      </c>
      <c r="AH64" s="22">
        <v>0</v>
      </c>
    </row>
    <row r="65" spans="2:38" ht="6" customHeight="1" thickBot="1" x14ac:dyDescent="0.25">
      <c r="B65" s="73"/>
      <c r="C65" s="73"/>
      <c r="D65" s="73"/>
      <c r="E65" s="73"/>
      <c r="F65" s="51"/>
      <c r="G65" s="51"/>
      <c r="H65" s="51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110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H65" s="41"/>
    </row>
    <row r="66" spans="2:38" ht="19" x14ac:dyDescent="0.2">
      <c r="B66" s="105" t="s">
        <v>134</v>
      </c>
      <c r="C66" s="106" t="s">
        <v>84</v>
      </c>
      <c r="D66" s="107">
        <f>+D67</f>
        <v>25000000</v>
      </c>
      <c r="E66" s="107">
        <f t="shared" ref="E66:AB66" si="65">+E67</f>
        <v>83128080</v>
      </c>
      <c r="F66" s="107">
        <f t="shared" si="65"/>
        <v>0</v>
      </c>
      <c r="G66" s="107">
        <f t="shared" si="65"/>
        <v>0</v>
      </c>
      <c r="H66" s="107">
        <f t="shared" si="65"/>
        <v>0</v>
      </c>
      <c r="I66" s="107">
        <f t="shared" si="65"/>
        <v>704011</v>
      </c>
      <c r="J66" s="107">
        <f t="shared" si="65"/>
        <v>239671.21</v>
      </c>
      <c r="K66" s="107">
        <f t="shared" si="65"/>
        <v>395088</v>
      </c>
      <c r="L66" s="107">
        <f t="shared" si="65"/>
        <v>188923</v>
      </c>
      <c r="M66" s="107">
        <f t="shared" si="65"/>
        <v>0</v>
      </c>
      <c r="N66" s="107">
        <f t="shared" si="65"/>
        <v>586910</v>
      </c>
      <c r="O66" s="107">
        <f t="shared" si="65"/>
        <v>0</v>
      </c>
      <c r="P66" s="107">
        <f>+P67</f>
        <v>51737.35</v>
      </c>
      <c r="Q66" s="107">
        <f t="shared" si="65"/>
        <v>150791</v>
      </c>
      <c r="R66" s="107">
        <f t="shared" si="65"/>
        <v>59518</v>
      </c>
      <c r="S66" s="107">
        <f t="shared" si="65"/>
        <v>123134</v>
      </c>
      <c r="T66" s="108">
        <f t="shared" si="65"/>
        <v>1795772.56</v>
      </c>
      <c r="U66" s="107">
        <f t="shared" si="65"/>
        <v>158917</v>
      </c>
      <c r="V66" s="107">
        <f>+V67</f>
        <v>1954689.56</v>
      </c>
      <c r="W66" s="107">
        <f t="shared" si="65"/>
        <v>0</v>
      </c>
      <c r="X66" s="107">
        <f t="shared" si="65"/>
        <v>585974</v>
      </c>
      <c r="Y66" s="107">
        <f t="shared" si="65"/>
        <v>749314</v>
      </c>
      <c r="Z66" s="107">
        <f t="shared" si="65"/>
        <v>325400</v>
      </c>
      <c r="AA66" s="107">
        <f t="shared" si="65"/>
        <v>3615377.56</v>
      </c>
      <c r="AB66" s="107">
        <f t="shared" si="65"/>
        <v>79512702.439999998</v>
      </c>
      <c r="AC66" s="107"/>
      <c r="AD66" s="107"/>
      <c r="AE66" s="107"/>
      <c r="AF66" s="107">
        <f t="shared" ref="AF66" si="66">+AF67</f>
        <v>6500000</v>
      </c>
      <c r="AH66" s="30">
        <f>+AH67</f>
        <v>0</v>
      </c>
    </row>
    <row r="67" spans="2:38" ht="20" thickBot="1" x14ac:dyDescent="0.25">
      <c r="B67" s="104" t="s">
        <v>135</v>
      </c>
      <c r="C67" s="96" t="s">
        <v>85</v>
      </c>
      <c r="D67" s="99">
        <v>25000000</v>
      </c>
      <c r="E67" s="111">
        <v>83128080</v>
      </c>
      <c r="F67" s="51"/>
      <c r="G67" s="51"/>
      <c r="H67" s="51"/>
      <c r="I67" s="92">
        <v>704011</v>
      </c>
      <c r="J67" s="92">
        <v>239671.21</v>
      </c>
      <c r="K67" s="92">
        <v>395088</v>
      </c>
      <c r="L67" s="92">
        <v>188923</v>
      </c>
      <c r="M67" s="92"/>
      <c r="N67" s="92">
        <v>586910</v>
      </c>
      <c r="O67" s="92"/>
      <c r="P67" s="92">
        <f>51737.35</f>
        <v>51737.35</v>
      </c>
      <c r="Q67" s="92">
        <v>150791</v>
      </c>
      <c r="R67" s="92">
        <v>59518</v>
      </c>
      <c r="S67" s="92">
        <v>123134</v>
      </c>
      <c r="T67" s="94">
        <f t="shared" ref="T67" si="67">+S67+R67+Q67+P67+N67+L67+K67+J67</f>
        <v>1795772.56</v>
      </c>
      <c r="U67" s="92">
        <f>+'[1]REGISTROS -SEPTIEMBRE 2016'!$F$273</f>
        <v>158917</v>
      </c>
      <c r="V67" s="92">
        <f t="shared" ref="V67" si="68">+T67+U67</f>
        <v>1954689.56</v>
      </c>
      <c r="W67" s="92"/>
      <c r="X67" s="92">
        <v>585974</v>
      </c>
      <c r="Y67" s="95">
        <v>749314</v>
      </c>
      <c r="Z67" s="95">
        <v>325400</v>
      </c>
      <c r="AA67" s="92">
        <f t="shared" ref="AA67" si="69">+V67+X67+Y67+Z67</f>
        <v>3615377.56</v>
      </c>
      <c r="AB67" s="92">
        <f t="shared" ref="AB67" si="70">+E67-AA67</f>
        <v>79512702.439999998</v>
      </c>
      <c r="AC67" s="92"/>
      <c r="AD67" s="92"/>
      <c r="AE67" s="92"/>
      <c r="AF67" s="99">
        <v>6500000</v>
      </c>
      <c r="AG67" s="21"/>
      <c r="AH67" s="22"/>
      <c r="AL67" t="s">
        <v>138</v>
      </c>
    </row>
    <row r="68" spans="2:38" ht="6" customHeight="1" thickBot="1" x14ac:dyDescent="0.25">
      <c r="B68" s="73"/>
      <c r="C68" s="73"/>
      <c r="D68" s="73"/>
      <c r="E68" s="73">
        <v>0</v>
      </c>
      <c r="F68" s="51"/>
      <c r="G68" s="51"/>
      <c r="H68" s="51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110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H68" s="41"/>
    </row>
    <row r="69" spans="2:38" ht="20" thickBot="1" x14ac:dyDescent="0.25">
      <c r="B69" s="80">
        <v>2.2999999999999998</v>
      </c>
      <c r="C69" s="81" t="s">
        <v>86</v>
      </c>
      <c r="D69" s="82">
        <f>+D70</f>
        <v>10000000</v>
      </c>
      <c r="E69" s="82">
        <f t="shared" ref="E69:AB70" si="71">+E70</f>
        <v>35000000</v>
      </c>
      <c r="F69" s="82">
        <f t="shared" si="71"/>
        <v>0</v>
      </c>
      <c r="G69" s="82">
        <f t="shared" si="71"/>
        <v>0</v>
      </c>
      <c r="H69" s="82">
        <f t="shared" si="71"/>
        <v>0</v>
      </c>
      <c r="I69" s="82">
        <f t="shared" si="71"/>
        <v>0</v>
      </c>
      <c r="J69" s="82">
        <f t="shared" si="71"/>
        <v>0</v>
      </c>
      <c r="K69" s="82">
        <f t="shared" si="71"/>
        <v>0</v>
      </c>
      <c r="L69" s="82">
        <f t="shared" si="71"/>
        <v>0</v>
      </c>
      <c r="M69" s="82">
        <f t="shared" si="71"/>
        <v>0</v>
      </c>
      <c r="N69" s="82">
        <f t="shared" si="71"/>
        <v>0</v>
      </c>
      <c r="O69" s="82">
        <f t="shared" si="71"/>
        <v>0</v>
      </c>
      <c r="P69" s="82">
        <f t="shared" si="71"/>
        <v>0</v>
      </c>
      <c r="Q69" s="82">
        <f t="shared" si="71"/>
        <v>0</v>
      </c>
      <c r="R69" s="82">
        <f t="shared" si="71"/>
        <v>0</v>
      </c>
      <c r="S69" s="82">
        <f t="shared" si="71"/>
        <v>0</v>
      </c>
      <c r="T69" s="83">
        <f t="shared" si="71"/>
        <v>0</v>
      </c>
      <c r="U69" s="82">
        <f t="shared" si="71"/>
        <v>0</v>
      </c>
      <c r="V69" s="82">
        <f t="shared" si="71"/>
        <v>0</v>
      </c>
      <c r="W69" s="82">
        <f t="shared" si="71"/>
        <v>0</v>
      </c>
      <c r="X69" s="82">
        <f t="shared" si="71"/>
        <v>0</v>
      </c>
      <c r="Y69" s="82">
        <f t="shared" si="71"/>
        <v>0</v>
      </c>
      <c r="Z69" s="82">
        <f t="shared" si="71"/>
        <v>0</v>
      </c>
      <c r="AA69" s="82">
        <f t="shared" si="71"/>
        <v>0</v>
      </c>
      <c r="AB69" s="82">
        <f t="shared" si="71"/>
        <v>35000000</v>
      </c>
      <c r="AC69" s="82"/>
      <c r="AD69" s="82"/>
      <c r="AE69" s="82"/>
      <c r="AF69" s="82">
        <f t="shared" ref="AF69:AF70" si="72">+AF70</f>
        <v>35000000</v>
      </c>
      <c r="AH69" s="18">
        <f>+AH70</f>
        <v>0</v>
      </c>
    </row>
    <row r="70" spans="2:38" ht="20" thickBot="1" x14ac:dyDescent="0.25">
      <c r="B70" s="84" t="s">
        <v>136</v>
      </c>
      <c r="C70" s="85" t="s">
        <v>87</v>
      </c>
      <c r="D70" s="86">
        <f>+D71</f>
        <v>10000000</v>
      </c>
      <c r="E70" s="86">
        <f t="shared" si="71"/>
        <v>35000000</v>
      </c>
      <c r="F70" s="86">
        <f t="shared" si="71"/>
        <v>0</v>
      </c>
      <c r="G70" s="86">
        <f t="shared" si="71"/>
        <v>0</v>
      </c>
      <c r="H70" s="86">
        <f t="shared" si="71"/>
        <v>0</v>
      </c>
      <c r="I70" s="86">
        <f t="shared" si="71"/>
        <v>0</v>
      </c>
      <c r="J70" s="86">
        <f t="shared" si="71"/>
        <v>0</v>
      </c>
      <c r="K70" s="86">
        <f t="shared" si="71"/>
        <v>0</v>
      </c>
      <c r="L70" s="86">
        <f t="shared" si="71"/>
        <v>0</v>
      </c>
      <c r="M70" s="86">
        <f t="shared" si="71"/>
        <v>0</v>
      </c>
      <c r="N70" s="86">
        <f t="shared" si="71"/>
        <v>0</v>
      </c>
      <c r="O70" s="86">
        <f t="shared" si="71"/>
        <v>0</v>
      </c>
      <c r="P70" s="86">
        <f t="shared" si="71"/>
        <v>0</v>
      </c>
      <c r="Q70" s="86">
        <f t="shared" si="71"/>
        <v>0</v>
      </c>
      <c r="R70" s="86">
        <f t="shared" si="71"/>
        <v>0</v>
      </c>
      <c r="S70" s="86">
        <f t="shared" si="71"/>
        <v>0</v>
      </c>
      <c r="T70" s="87">
        <f t="shared" si="71"/>
        <v>0</v>
      </c>
      <c r="U70" s="86">
        <f t="shared" si="71"/>
        <v>0</v>
      </c>
      <c r="V70" s="86">
        <f t="shared" si="71"/>
        <v>0</v>
      </c>
      <c r="W70" s="86">
        <f t="shared" si="71"/>
        <v>0</v>
      </c>
      <c r="X70" s="86">
        <f t="shared" si="71"/>
        <v>0</v>
      </c>
      <c r="Y70" s="86">
        <f t="shared" si="71"/>
        <v>0</v>
      </c>
      <c r="Z70" s="86">
        <f t="shared" si="71"/>
        <v>0</v>
      </c>
      <c r="AA70" s="86">
        <f t="shared" si="71"/>
        <v>0</v>
      </c>
      <c r="AB70" s="86">
        <f t="shared" si="71"/>
        <v>35000000</v>
      </c>
      <c r="AC70" s="86"/>
      <c r="AD70" s="86"/>
      <c r="AE70" s="86"/>
      <c r="AF70" s="86">
        <f t="shared" si="72"/>
        <v>35000000</v>
      </c>
      <c r="AH70" s="27">
        <f>+AH71</f>
        <v>0</v>
      </c>
    </row>
    <row r="71" spans="2:38" ht="36.75" customHeight="1" thickBot="1" x14ac:dyDescent="0.25">
      <c r="B71" s="104" t="s">
        <v>137</v>
      </c>
      <c r="C71" s="91" t="s">
        <v>88</v>
      </c>
      <c r="D71" s="92">
        <v>10000000</v>
      </c>
      <c r="E71" s="92">
        <v>35000000</v>
      </c>
      <c r="F71" s="51"/>
      <c r="G71" s="51"/>
      <c r="H71" s="51"/>
      <c r="I71" s="92">
        <v>0</v>
      </c>
      <c r="J71" s="92"/>
      <c r="K71" s="92"/>
      <c r="L71" s="92"/>
      <c r="M71" s="92"/>
      <c r="N71" s="92"/>
      <c r="O71" s="92"/>
      <c r="P71" s="92">
        <v>0</v>
      </c>
      <c r="Q71" s="92">
        <v>0</v>
      </c>
      <c r="R71" s="92">
        <v>0</v>
      </c>
      <c r="S71" s="92">
        <v>0</v>
      </c>
      <c r="T71" s="94">
        <v>0</v>
      </c>
      <c r="U71" s="92"/>
      <c r="V71" s="92">
        <v>0</v>
      </c>
      <c r="W71" s="92"/>
      <c r="X71" s="92"/>
      <c r="Y71" s="92"/>
      <c r="Z71" s="92"/>
      <c r="AA71" s="92"/>
      <c r="AB71" s="92">
        <f t="shared" ref="AB71" si="73">+E71-AA71</f>
        <v>35000000</v>
      </c>
      <c r="AC71" s="92"/>
      <c r="AD71" s="92"/>
      <c r="AE71" s="92"/>
      <c r="AF71" s="92">
        <v>35000000</v>
      </c>
      <c r="AH71" s="22">
        <v>0</v>
      </c>
      <c r="AI71" s="50" t="s">
        <v>89</v>
      </c>
    </row>
    <row r="73" spans="2:38" x14ac:dyDescent="0.2">
      <c r="C73" s="31"/>
      <c r="D73" s="32"/>
      <c r="E73" s="32"/>
    </row>
    <row r="74" spans="2:38" x14ac:dyDescent="0.2">
      <c r="C74" s="33"/>
      <c r="D74" s="33"/>
      <c r="E74" s="32"/>
    </row>
    <row r="75" spans="2:38" ht="19" x14ac:dyDescent="0.2">
      <c r="C75" s="34"/>
      <c r="D75" s="34"/>
      <c r="E75" s="32"/>
    </row>
    <row r="76" spans="2:38" x14ac:dyDescent="0.2">
      <c r="C76" s="36"/>
      <c r="D76" s="36"/>
      <c r="E76" s="32"/>
    </row>
    <row r="82" spans="4:34" x14ac:dyDescent="0.2">
      <c r="L82" s="1" t="s">
        <v>90</v>
      </c>
      <c r="M82" s="35"/>
      <c r="P82" s="35"/>
    </row>
    <row r="85" spans="4:34" x14ac:dyDescent="0.2">
      <c r="D85"/>
      <c r="E85"/>
      <c r="I85"/>
      <c r="J85"/>
      <c r="K85"/>
      <c r="L85"/>
      <c r="M85"/>
      <c r="N85"/>
      <c r="O85"/>
      <c r="P85"/>
      <c r="Q85"/>
      <c r="R85"/>
      <c r="S85"/>
      <c r="T85" s="17"/>
      <c r="U85"/>
      <c r="V85"/>
      <c r="W85"/>
      <c r="X85"/>
      <c r="Y85"/>
      <c r="Z85"/>
      <c r="AA85"/>
      <c r="AB85"/>
      <c r="AC85"/>
      <c r="AD85"/>
      <c r="AE85"/>
      <c r="AF85"/>
      <c r="AH85"/>
    </row>
    <row r="86" spans="4:34" x14ac:dyDescent="0.2">
      <c r="D86"/>
      <c r="E86"/>
      <c r="I86"/>
      <c r="J86"/>
      <c r="K86"/>
      <c r="L86"/>
      <c r="M86"/>
      <c r="N86"/>
      <c r="O86"/>
      <c r="P86"/>
      <c r="Q86"/>
      <c r="R86"/>
      <c r="S86"/>
      <c r="T86" s="17"/>
      <c r="U86"/>
      <c r="V86"/>
      <c r="W86"/>
      <c r="X86"/>
      <c r="Y86"/>
      <c r="Z86"/>
      <c r="AA86"/>
      <c r="AB86"/>
      <c r="AC86"/>
      <c r="AD86"/>
      <c r="AE86"/>
      <c r="AF86"/>
      <c r="AH86"/>
    </row>
    <row r="87" spans="4:34" x14ac:dyDescent="0.2">
      <c r="D87"/>
      <c r="E87"/>
      <c r="I87"/>
      <c r="J87"/>
      <c r="K87"/>
      <c r="L87"/>
      <c r="M87"/>
      <c r="N87"/>
      <c r="O87"/>
      <c r="P87"/>
      <c r="Q87"/>
      <c r="R87"/>
      <c r="S87"/>
      <c r="T87" s="17"/>
      <c r="U87"/>
      <c r="V87"/>
      <c r="W87"/>
      <c r="X87"/>
      <c r="Y87"/>
      <c r="Z87"/>
      <c r="AA87"/>
      <c r="AB87"/>
      <c r="AC87"/>
      <c r="AD87"/>
      <c r="AE87"/>
      <c r="AF87"/>
      <c r="AH87"/>
    </row>
    <row r="88" spans="4:34" x14ac:dyDescent="0.2">
      <c r="D88"/>
      <c r="E88"/>
      <c r="I88"/>
      <c r="J88"/>
      <c r="K88"/>
      <c r="L88"/>
      <c r="M88"/>
      <c r="N88"/>
      <c r="O88"/>
      <c r="P88"/>
      <c r="Q88"/>
      <c r="R88"/>
      <c r="S88"/>
      <c r="T88" s="17"/>
      <c r="U88"/>
      <c r="V88"/>
      <c r="W88"/>
      <c r="X88"/>
      <c r="Y88"/>
      <c r="Z88"/>
      <c r="AA88"/>
      <c r="AB88"/>
      <c r="AC88"/>
      <c r="AD88"/>
      <c r="AE88"/>
      <c r="AF88"/>
      <c r="AH88"/>
    </row>
  </sheetData>
  <mergeCells count="1">
    <mergeCell ref="AH3:AH4"/>
  </mergeCells>
  <pageMargins left="0.70866141732283472" right="0.70866141732283472" top="0.74803149606299213" bottom="0.74803149606299213" header="0.31496062992125984" footer="0.31496062992125984"/>
  <pageSetup paperSize="5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5" sqref="F15"/>
    </sheetView>
  </sheetViews>
  <sheetFormatPr baseColWidth="10" defaultColWidth="11.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 2017 PROMOTORA MIEL</vt:lpstr>
      <vt:lpstr>Hoja2</vt:lpstr>
      <vt:lpstr>Hoja3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Gonzalez</dc:creator>
  <cp:lastModifiedBy>Usuario de Microsoft Office</cp:lastModifiedBy>
  <cp:revision/>
  <cp:lastPrinted>2017-01-18T19:29:56Z</cp:lastPrinted>
  <dcterms:created xsi:type="dcterms:W3CDTF">2016-10-18T10:05:33Z</dcterms:created>
  <dcterms:modified xsi:type="dcterms:W3CDTF">2017-02-02T15:02:18Z</dcterms:modified>
</cp:coreProperties>
</file>